
<file path=[Content_Types].xml><?xml version="1.0" encoding="utf-8"?>
<Types xmlns="http://schemas.openxmlformats.org/package/2006/content-types">
  <Default Extension="emf" ContentType="image/x-emf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E:\5.Work\Sysinteck\1.PJT\2023PJT\2023 NPC\22.설계\ADC Sensing 설계\"/>
    </mc:Choice>
  </mc:AlternateContent>
  <xr:revisionPtr revIDLastSave="0" documentId="8_{EC70EBF9-4C5B-4EC3-BFD5-70B116BD1140}" xr6:coauthVersionLast="47" xr6:coauthVersionMax="47" xr10:uidLastSave="{00000000-0000-0000-0000-000000000000}"/>
  <bookViews>
    <workbookView xWindow="-28920" yWindow="-120" windowWidth="29040" windowHeight="15840" activeTab="4" xr2:uid="{0FE7CB08-E284-4634-856E-5219ACE2B1E6}"/>
  </bookViews>
  <sheets>
    <sheet name="1. ADC 센싱종류" sheetId="1" r:id="rId1"/>
    <sheet name="2. 입력전압센싱" sheetId="2" r:id="rId2"/>
    <sheet name="3.입력전류센싱" sheetId="3" r:id="rId3"/>
    <sheet name="4.출력전압센싱" sheetId="4" r:id="rId4"/>
    <sheet name="5.출력전류센싱" sheetId="5" r:id="rId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N93" i="5" l="1"/>
  <c r="N91" i="5"/>
  <c r="O42" i="5"/>
  <c r="L42" i="5"/>
  <c r="L41" i="5"/>
  <c r="N23" i="5"/>
  <c r="L97" i="5" s="1"/>
  <c r="N18" i="5"/>
  <c r="N19" i="5" s="1"/>
  <c r="D91" i="5"/>
  <c r="E89" i="5" s="1"/>
  <c r="C36" i="5"/>
  <c r="F37" i="5" s="1"/>
  <c r="G38" i="5" s="1"/>
  <c r="E14" i="5"/>
  <c r="C96" i="5" s="1"/>
  <c r="E18" i="5"/>
  <c r="E19" i="5" s="1"/>
  <c r="H7" i="5"/>
  <c r="T41" i="4"/>
  <c r="S70" i="4"/>
  <c r="T49" i="4"/>
  <c r="U76" i="4"/>
  <c r="Q47" i="4"/>
  <c r="Q39" i="4"/>
  <c r="Q42" i="4"/>
  <c r="E31" i="4"/>
  <c r="E32" i="4" s="1"/>
  <c r="E49" i="4"/>
  <c r="E47" i="4"/>
  <c r="K39" i="4"/>
  <c r="K38" i="4"/>
  <c r="I33" i="4"/>
  <c r="I36" i="4" s="1"/>
  <c r="E33" i="4"/>
  <c r="L80" i="3"/>
  <c r="O58" i="3"/>
  <c r="O57" i="3"/>
  <c r="L60" i="3" s="1"/>
  <c r="L52" i="3"/>
  <c r="P48" i="3"/>
  <c r="N41" i="3"/>
  <c r="N36" i="3"/>
  <c r="N37" i="3" s="1"/>
  <c r="N38" i="3" s="1"/>
  <c r="N40" i="3" s="1"/>
  <c r="C115" i="3"/>
  <c r="D110" i="3"/>
  <c r="E108" i="3" s="1"/>
  <c r="E105" i="3" s="1"/>
  <c r="C55" i="3"/>
  <c r="C56" i="3" s="1"/>
  <c r="D57" i="3" s="1"/>
  <c r="E36" i="3"/>
  <c r="E37" i="3" s="1"/>
  <c r="E39" i="3" s="1"/>
  <c r="C45" i="3" s="1"/>
  <c r="P43" i="5" l="1"/>
  <c r="M43" i="5"/>
  <c r="N20" i="5"/>
  <c r="N25" i="5" s="1"/>
  <c r="N88" i="5" s="1"/>
  <c r="C37" i="5"/>
  <c r="D38" i="5" s="1"/>
  <c r="E20" i="5"/>
  <c r="E21" i="5"/>
  <c r="C26" i="5" s="1"/>
  <c r="C41" i="5" s="1"/>
  <c r="Q44" i="4"/>
  <c r="Q49" i="4" s="1"/>
  <c r="Q43" i="4"/>
  <c r="Q34" i="4"/>
  <c r="G48" i="4"/>
  <c r="E37" i="4"/>
  <c r="I35" i="4"/>
  <c r="I38" i="4" s="1"/>
  <c r="I37" i="4"/>
  <c r="C58" i="4" s="1"/>
  <c r="E35" i="4"/>
  <c r="E36" i="4"/>
  <c r="N43" i="3"/>
  <c r="N42" i="3"/>
  <c r="F56" i="3"/>
  <c r="G57" i="3" s="1"/>
  <c r="E38" i="3"/>
  <c r="L31" i="5" l="1"/>
  <c r="L32" i="5"/>
  <c r="N24" i="5"/>
  <c r="C27" i="5"/>
  <c r="C28" i="5" s="1"/>
  <c r="E86" i="5"/>
  <c r="F41" i="5"/>
  <c r="S51" i="4"/>
  <c r="T81" i="4"/>
  <c r="T82" i="4" s="1"/>
  <c r="C42" i="4"/>
  <c r="C70" i="4"/>
  <c r="Q36" i="4"/>
  <c r="Q40" i="4" s="1"/>
  <c r="Q35" i="4"/>
  <c r="Q48" i="4"/>
  <c r="Q46" i="4"/>
  <c r="T46" i="4" s="1"/>
  <c r="I39" i="4"/>
  <c r="E39" i="4"/>
  <c r="E38" i="4"/>
  <c r="L49" i="3"/>
  <c r="L48" i="3"/>
  <c r="H38" i="3"/>
  <c r="C46" i="3"/>
  <c r="C47" i="3" s="1"/>
  <c r="L33" i="5" l="1"/>
  <c r="D24" i="5"/>
  <c r="F28" i="5"/>
  <c r="F32" i="5"/>
  <c r="F29" i="5"/>
  <c r="G24" i="5" s="1"/>
  <c r="C42" i="5"/>
  <c r="F42" i="5" s="1"/>
  <c r="L50" i="3"/>
  <c r="F51" i="3"/>
  <c r="F47" i="3"/>
  <c r="D43" i="3"/>
  <c r="F48" i="3"/>
  <c r="G43" i="3" s="1"/>
  <c r="C31" i="5" l="1"/>
  <c r="O34" i="5"/>
  <c r="P29" i="5" s="1"/>
  <c r="O33" i="5"/>
  <c r="O36" i="5" s="1"/>
  <c r="O37" i="5" s="1"/>
  <c r="M29" i="5"/>
  <c r="O50" i="3"/>
  <c r="L54" i="3" s="1"/>
  <c r="L56" i="3" s="1"/>
  <c r="L57" i="3" s="1"/>
  <c r="C50" i="3"/>
  <c r="L58" i="3" l="1"/>
  <c r="P60" i="3" s="1"/>
  <c r="L81" i="2" l="1"/>
  <c r="P63" i="2"/>
  <c r="P62" i="2"/>
  <c r="M65" i="2" s="1"/>
  <c r="R63" i="2" s="1"/>
  <c r="M57" i="2"/>
  <c r="Q53" i="2"/>
  <c r="O46" i="2"/>
  <c r="O30" i="2"/>
  <c r="O41" i="2" s="1"/>
  <c r="O42" i="2" s="1"/>
  <c r="O38" i="2"/>
  <c r="C66" i="2"/>
  <c r="D66" i="2" s="1"/>
  <c r="E66" i="2" s="1"/>
  <c r="O43" i="2" l="1"/>
  <c r="O48" i="2" s="1"/>
  <c r="T49" i="2" s="1"/>
  <c r="O33" i="2"/>
  <c r="O34" i="2" s="1"/>
  <c r="M54" i="2" l="1"/>
  <c r="M53" i="2"/>
  <c r="O45" i="2"/>
  <c r="O47" i="2"/>
  <c r="O35" i="2"/>
  <c r="O39" i="2" s="1"/>
  <c r="M55" i="2" l="1"/>
  <c r="P55" i="2" s="1"/>
  <c r="M59" i="2" s="1"/>
  <c r="M61" i="2" l="1"/>
  <c r="M62" i="2" s="1"/>
  <c r="M63" i="2" l="1"/>
  <c r="Q65" i="2" s="1"/>
  <c r="D54" i="2" l="1"/>
  <c r="D42" i="2"/>
  <c r="D47" i="2"/>
  <c r="D28" i="2"/>
  <c r="D32" i="2"/>
  <c r="D35" i="2" l="1"/>
  <c r="D49" i="2" s="1"/>
  <c r="D29" i="2"/>
  <c r="D34" i="2"/>
  <c r="D48" i="2" s="1"/>
  <c r="D36" i="2" l="1"/>
  <c r="D37" i="2"/>
</calcChain>
</file>

<file path=xl/sharedStrings.xml><?xml version="1.0" encoding="utf-8"?>
<sst xmlns="http://schemas.openxmlformats.org/spreadsheetml/2006/main" count="1073" uniqueCount="435">
  <si>
    <t>1-1</t>
    <phoneticPr fontId="2" type="noConversion"/>
  </si>
  <si>
    <t>입력 선간전압</t>
    <phoneticPr fontId="2" type="noConversion"/>
  </si>
  <si>
    <t>1-2</t>
    <phoneticPr fontId="2" type="noConversion"/>
  </si>
  <si>
    <t>분압저항 + 차동증폭기</t>
    <phoneticPr fontId="2" type="noConversion"/>
  </si>
  <si>
    <t>LV25-P + 비반전증폭기</t>
    <phoneticPr fontId="2" type="noConversion"/>
  </si>
  <si>
    <t>2-1</t>
    <phoneticPr fontId="2" type="noConversion"/>
  </si>
  <si>
    <t>입력 전류</t>
    <phoneticPr fontId="2" type="noConversion"/>
  </si>
  <si>
    <t>2-2</t>
    <phoneticPr fontId="2" type="noConversion"/>
  </si>
  <si>
    <t>LTS15-NP + 비반전증폭기</t>
    <phoneticPr fontId="2" type="noConversion"/>
  </si>
  <si>
    <t>LA25-P + 비반전증폭기</t>
    <phoneticPr fontId="2" type="noConversion"/>
  </si>
  <si>
    <t>3-1</t>
    <phoneticPr fontId="2" type="noConversion"/>
  </si>
  <si>
    <t>출력전압</t>
    <phoneticPr fontId="2" type="noConversion"/>
  </si>
  <si>
    <t>절연형 AMP + 비반전 차동증폭기</t>
    <phoneticPr fontId="2" type="noConversion"/>
  </si>
  <si>
    <t>3-2</t>
    <phoneticPr fontId="2" type="noConversion"/>
  </si>
  <si>
    <t>4-1</t>
    <phoneticPr fontId="2" type="noConversion"/>
  </si>
  <si>
    <t>출력전류</t>
    <phoneticPr fontId="2" type="noConversion"/>
  </si>
  <si>
    <t>4-2</t>
    <phoneticPr fontId="2" type="noConversion"/>
  </si>
  <si>
    <t>1. 개요</t>
    <phoneticPr fontId="2" type="noConversion"/>
  </si>
  <si>
    <t xml:space="preserve"> - 본 회로가 적용되는 23NPC 컨버터의 ADC 센싱은 입력전압, 입력전류, 출력전압, 출력전류에 대해 적용되면</t>
    <phoneticPr fontId="2" type="noConversion"/>
  </si>
  <si>
    <t xml:space="preserve">    각 ADC 센싱을 위한 회로는 2가지 방법으로 해당 신호를 센싱할 수 있도록 구성하였다.</t>
    <phoneticPr fontId="2" type="noConversion"/>
  </si>
  <si>
    <t xml:space="preserve"> - 적용 방식에 따라 다음과 같이 분류한다.</t>
    <phoneticPr fontId="2" type="noConversion"/>
  </si>
  <si>
    <t>순번</t>
    <phoneticPr fontId="2" type="noConversion"/>
  </si>
  <si>
    <t>분류</t>
    <phoneticPr fontId="2" type="noConversion"/>
  </si>
  <si>
    <t>센싱 대상</t>
    <phoneticPr fontId="2" type="noConversion"/>
  </si>
  <si>
    <t>센싱 방법</t>
    <phoneticPr fontId="2" type="noConversion"/>
  </si>
  <si>
    <t>적용</t>
    <phoneticPr fontId="2" type="noConversion"/>
  </si>
  <si>
    <t>적용여부</t>
    <phoneticPr fontId="2" type="noConversion"/>
  </si>
  <si>
    <t>예비</t>
    <phoneticPr fontId="2" type="noConversion"/>
  </si>
  <si>
    <t xml:space="preserve"> - 각 센싱은 적용과 예비 회로로 구성되면 적용회로는 SMT 조립작업이 선해되어 있으며 이 결과가 만족스럽지 못한 경우 예비 회로로 수정하여 적용한다.</t>
    <phoneticPr fontId="2" type="noConversion"/>
  </si>
  <si>
    <t>2. 입력전압 센싱</t>
    <phoneticPr fontId="2" type="noConversion"/>
  </si>
  <si>
    <t>1) 차동증폭회로 설계</t>
    <phoneticPr fontId="2" type="noConversion"/>
  </si>
  <si>
    <t>입력전압</t>
    <phoneticPr fontId="2" type="noConversion"/>
  </si>
  <si>
    <t>V</t>
    <phoneticPr fontId="2" type="noConversion"/>
  </si>
  <si>
    <t>분압 저항1</t>
    <phoneticPr fontId="2" type="noConversion"/>
  </si>
  <si>
    <t>R1, R3</t>
    <phoneticPr fontId="2" type="noConversion"/>
  </si>
  <si>
    <t>분압 저항2</t>
    <phoneticPr fontId="2" type="noConversion"/>
  </si>
  <si>
    <t>R2, R4</t>
    <phoneticPr fontId="2" type="noConversion"/>
  </si>
  <si>
    <t>㏁</t>
    <phoneticPr fontId="2" type="noConversion"/>
  </si>
  <si>
    <t>㏀</t>
    <phoneticPr fontId="2" type="noConversion"/>
  </si>
  <si>
    <t>저항비</t>
    <phoneticPr fontId="2" type="noConversion"/>
  </si>
  <si>
    <t>G</t>
    <phoneticPr fontId="2" type="noConversion"/>
  </si>
  <si>
    <t>VOUT</t>
    <phoneticPr fontId="2" type="noConversion"/>
  </si>
  <si>
    <t>VIN</t>
    <phoneticPr fontId="2" type="noConversion"/>
  </si>
  <si>
    <t>VREF</t>
    <phoneticPr fontId="2" type="noConversion"/>
  </si>
  <si>
    <t>기준전압</t>
    <phoneticPr fontId="2" type="noConversion"/>
  </si>
  <si>
    <t>Vrms</t>
    <phoneticPr fontId="2" type="noConversion"/>
  </si>
  <si>
    <t>VINrsm</t>
    <phoneticPr fontId="2" type="noConversion"/>
  </si>
  <si>
    <t>Vpeak</t>
    <phoneticPr fontId="2" type="noConversion"/>
  </si>
  <si>
    <t>VOUT_P</t>
    <phoneticPr fontId="2" type="noConversion"/>
  </si>
  <si>
    <t>VOUT_N</t>
    <phoneticPr fontId="2" type="noConversion"/>
  </si>
  <si>
    <t>항목</t>
    <phoneticPr fontId="2" type="noConversion"/>
  </si>
  <si>
    <t>기호</t>
    <phoneticPr fontId="2" type="noConversion"/>
  </si>
  <si>
    <t>값</t>
    <phoneticPr fontId="2" type="noConversion"/>
  </si>
  <si>
    <t>단위</t>
    <phoneticPr fontId="2" type="noConversion"/>
  </si>
  <si>
    <t xml:space="preserve"> </t>
    <phoneticPr fontId="2" type="noConversion"/>
  </si>
  <si>
    <t xml:space="preserve"> = R2/ R1</t>
    <phoneticPr fontId="2" type="noConversion"/>
  </si>
  <si>
    <t>관련수식 및 근거</t>
    <phoneticPr fontId="2" type="noConversion"/>
  </si>
  <si>
    <t xml:space="preserve"> = ADC_max / 2</t>
    <phoneticPr fontId="2" type="noConversion"/>
  </si>
  <si>
    <t>최대입력전압</t>
    <phoneticPr fontId="2" type="noConversion"/>
  </si>
  <si>
    <t>VINmax</t>
    <phoneticPr fontId="2" type="noConversion"/>
  </si>
  <si>
    <t xml:space="preserve"> = 1.2 x VIN</t>
    <phoneticPr fontId="2" type="noConversion"/>
  </si>
  <si>
    <t>최대출력전압</t>
    <phoneticPr fontId="2" type="noConversion"/>
  </si>
  <si>
    <t>VOUT_Pm</t>
    <phoneticPr fontId="2" type="noConversion"/>
  </si>
  <si>
    <t>VOUT_Nm</t>
    <phoneticPr fontId="2" type="noConversion"/>
  </si>
  <si>
    <t xml:space="preserve"> = VINmax x G + VREF</t>
    <phoneticPr fontId="2" type="noConversion"/>
  </si>
  <si>
    <t xml:space="preserve"> = -VINmax x G + VREF</t>
    <phoneticPr fontId="2" type="noConversion"/>
  </si>
  <si>
    <t># 최대출력전압은 ADC 최대 입력전압인 3.3V를 초과하지 않아야 한다.</t>
    <phoneticPr fontId="2" type="noConversion"/>
  </si>
  <si>
    <t>2) Active Low Pass Filter</t>
    <phoneticPr fontId="2" type="noConversion"/>
  </si>
  <si>
    <t>차단 주파수</t>
    <phoneticPr fontId="2" type="noConversion"/>
  </si>
  <si>
    <t>fc</t>
    <phoneticPr fontId="2" type="noConversion"/>
  </si>
  <si>
    <t>필터 R</t>
    <phoneticPr fontId="2" type="noConversion"/>
  </si>
  <si>
    <t>필터 C</t>
    <phoneticPr fontId="2" type="noConversion"/>
  </si>
  <si>
    <t>이득</t>
    <phoneticPr fontId="2" type="noConversion"/>
  </si>
  <si>
    <t>이득 저항 1</t>
    <phoneticPr fontId="2" type="noConversion"/>
  </si>
  <si>
    <t>Rf</t>
    <phoneticPr fontId="2" type="noConversion"/>
  </si>
  <si>
    <t>이득 저항 2</t>
    <phoneticPr fontId="2" type="noConversion"/>
  </si>
  <si>
    <t>Rg</t>
    <phoneticPr fontId="2" type="noConversion"/>
  </si>
  <si>
    <t xml:space="preserve">이득 </t>
    <phoneticPr fontId="2" type="noConversion"/>
  </si>
  <si>
    <t>uF</t>
    <phoneticPr fontId="2" type="noConversion"/>
  </si>
  <si>
    <t>㎑</t>
    <phoneticPr fontId="2" type="noConversion"/>
  </si>
  <si>
    <t xml:space="preserve"> = (1+Rf/Rg)</t>
    <phoneticPr fontId="2" type="noConversion"/>
  </si>
  <si>
    <t>출력 전압</t>
    <phoneticPr fontId="2" type="noConversion"/>
  </si>
  <si>
    <t>F_VOUT_P</t>
    <phoneticPr fontId="2" type="noConversion"/>
  </si>
  <si>
    <t>F_VOUT_N</t>
    <phoneticPr fontId="2" type="noConversion"/>
  </si>
  <si>
    <t xml:space="preserve"> = G x VOUT_P</t>
    <phoneticPr fontId="2" type="noConversion"/>
  </si>
  <si>
    <t xml:space="preserve"> = G x VOUT_N</t>
    <phoneticPr fontId="2" type="noConversion"/>
  </si>
  <si>
    <t># 차단주파수는 예상 노이즈 주파수(스위칭 주파수)의 1/10배로 선정함</t>
    <phoneticPr fontId="2" type="noConversion"/>
  </si>
  <si>
    <t>3) Passive Low Pass Filter</t>
    <phoneticPr fontId="2" type="noConversion"/>
  </si>
  <si>
    <t>입력(가변)변수</t>
    <phoneticPr fontId="2" type="noConversion"/>
  </si>
  <si>
    <t>Rc</t>
    <phoneticPr fontId="2" type="noConversion"/>
  </si>
  <si>
    <t>Cc</t>
    <phoneticPr fontId="2" type="noConversion"/>
  </si>
  <si>
    <t xml:space="preserve"> NC 처리</t>
    <phoneticPr fontId="2" type="noConversion"/>
  </si>
  <si>
    <t>Ω</t>
    <phoneticPr fontId="2" type="noConversion"/>
  </si>
  <si>
    <t>Hz</t>
    <phoneticPr fontId="2" type="noConversion"/>
  </si>
  <si>
    <r>
      <t xml:space="preserve"> = 1 / (2 x </t>
    </r>
    <r>
      <rPr>
        <sz val="11"/>
        <color theme="1"/>
        <rFont val="Calibri"/>
        <family val="3"/>
        <charset val="161"/>
      </rPr>
      <t>π</t>
    </r>
    <r>
      <rPr>
        <sz val="11"/>
        <color theme="1"/>
        <rFont val="맑은 고딕"/>
        <family val="3"/>
        <charset val="129"/>
      </rPr>
      <t xml:space="preserve"> x Rc x Cc)</t>
    </r>
    <phoneticPr fontId="2" type="noConversion"/>
  </si>
  <si>
    <r>
      <t xml:space="preserve"> = 1 / (2 x </t>
    </r>
    <r>
      <rPr>
        <sz val="11"/>
        <color theme="1"/>
        <rFont val="Calibri"/>
        <family val="2"/>
        <charset val="161"/>
      </rPr>
      <t>π</t>
    </r>
    <r>
      <rPr>
        <sz val="11"/>
        <color theme="1"/>
        <rFont val="맑은 고딕"/>
        <family val="2"/>
        <charset val="129"/>
        <scheme val="minor"/>
      </rPr>
      <t xml:space="preserve"> x Rc x Cc)</t>
    </r>
    <phoneticPr fontId="2" type="noConversion"/>
  </si>
  <si>
    <t xml:space="preserve"> - 전압분압방식 및 전압센서방식에 대한 설계 자료를 포함하고 있다.</t>
    <phoneticPr fontId="2" type="noConversion"/>
  </si>
  <si>
    <t>2-1. 전압분압방식의 입력전압 센싱</t>
    <phoneticPr fontId="2" type="noConversion"/>
  </si>
  <si>
    <t>2-2. LV25-P의 입력전압 센싱</t>
    <phoneticPr fontId="2" type="noConversion"/>
  </si>
  <si>
    <t>1) 증폭회로 설계</t>
    <phoneticPr fontId="2" type="noConversion"/>
  </si>
  <si>
    <t>Digital 소스 계산</t>
    <phoneticPr fontId="2" type="noConversion"/>
  </si>
  <si>
    <t>VIN = (VOUT-1.65) / 0.00232667</t>
    <phoneticPr fontId="2" type="noConversion"/>
  </si>
  <si>
    <t>VOUT = ADC / 2^12 x 3.3V</t>
    <phoneticPr fontId="2" type="noConversion"/>
  </si>
  <si>
    <t>VIN = (ADC / 2^12 x 3.3V-1.65V) / 0.00232667</t>
    <phoneticPr fontId="2" type="noConversion"/>
  </si>
  <si>
    <t>VIN[V]</t>
    <phoneticPr fontId="2" type="noConversion"/>
  </si>
  <si>
    <t>ADC</t>
    <phoneticPr fontId="2" type="noConversion"/>
  </si>
  <si>
    <t>환산값 VIN</t>
    <phoneticPr fontId="2" type="noConversion"/>
  </si>
  <si>
    <t>Gamp</t>
    <phoneticPr fontId="2" type="noConversion"/>
  </si>
  <si>
    <t xml:space="preserve"> = VIN x Gamp + VREF</t>
    <phoneticPr fontId="2" type="noConversion"/>
  </si>
  <si>
    <t xml:space="preserve"> = -VIN x Gamp + VREF</t>
    <phoneticPr fontId="2" type="noConversion"/>
  </si>
  <si>
    <t>전달함수 : VOUT = Gamp x VIN + VREF</t>
    <phoneticPr fontId="2" type="noConversion"/>
  </si>
  <si>
    <t>4) 프로그램밍 소스 계산 수식</t>
    <phoneticPr fontId="2" type="noConversion"/>
  </si>
  <si>
    <t>입력전압센싱1 380Vac</t>
    <phoneticPr fontId="2" type="noConversion"/>
  </si>
  <si>
    <t>1차측 전압 RMS</t>
    <phoneticPr fontId="2" type="noConversion"/>
  </si>
  <si>
    <t>1차측 전류 RMS</t>
    <phoneticPr fontId="2" type="noConversion"/>
  </si>
  <si>
    <t>mA</t>
    <phoneticPr fontId="2" type="noConversion"/>
  </si>
  <si>
    <t>1차측 피크전류</t>
    <phoneticPr fontId="2" type="noConversion"/>
  </si>
  <si>
    <t>1차측 저항</t>
    <phoneticPr fontId="2" type="noConversion"/>
  </si>
  <si>
    <t>1차측 저항용량</t>
    <phoneticPr fontId="2" type="noConversion"/>
  </si>
  <si>
    <t>W</t>
    <phoneticPr fontId="2" type="noConversion"/>
  </si>
  <si>
    <t>1차측 분할 저항</t>
    <phoneticPr fontId="2" type="noConversion"/>
  </si>
  <si>
    <t>전체저항갯수</t>
    <phoneticPr fontId="2" type="noConversion"/>
  </si>
  <si>
    <t>EA</t>
    <phoneticPr fontId="2" type="noConversion"/>
  </si>
  <si>
    <t>개별저항용량</t>
    <phoneticPr fontId="2" type="noConversion"/>
  </si>
  <si>
    <t>전체저항용향</t>
    <phoneticPr fontId="2" type="noConversion"/>
  </si>
  <si>
    <t>2차측 피크전류</t>
    <phoneticPr fontId="2" type="noConversion"/>
  </si>
  <si>
    <t>2차측 희망전압</t>
    <phoneticPr fontId="2" type="noConversion"/>
  </si>
  <si>
    <t>VIN_rms</t>
    <phoneticPr fontId="2" type="noConversion"/>
  </si>
  <si>
    <t>VIN_peak</t>
    <phoneticPr fontId="2" type="noConversion"/>
  </si>
  <si>
    <t>IIN_rms</t>
    <phoneticPr fontId="2" type="noConversion"/>
  </si>
  <si>
    <t>IIN_peak</t>
    <phoneticPr fontId="2" type="noConversion"/>
  </si>
  <si>
    <t>1차측 최대 피크전압</t>
    <phoneticPr fontId="2" type="noConversion"/>
  </si>
  <si>
    <t xml:space="preserve"> = √ (VINrms)</t>
    <phoneticPr fontId="2" type="noConversion"/>
  </si>
  <si>
    <r>
      <t xml:space="preserve"> = 1.2 x </t>
    </r>
    <r>
      <rPr>
        <sz val="11"/>
        <color theme="1"/>
        <rFont val="맑은 고딕"/>
        <family val="3"/>
        <charset val="129"/>
      </rPr>
      <t>√2</t>
    </r>
    <r>
      <rPr>
        <sz val="11"/>
        <color theme="1"/>
        <rFont val="맑은 고딕"/>
        <family val="2"/>
        <charset val="129"/>
        <scheme val="minor"/>
      </rPr>
      <t xml:space="preserve"> x VIN_rms</t>
    </r>
    <phoneticPr fontId="2" type="noConversion"/>
  </si>
  <si>
    <t>Rin</t>
    <phoneticPr fontId="2" type="noConversion"/>
  </si>
  <si>
    <t xml:space="preserve"> = VIN_peak / IIN_peak</t>
    <phoneticPr fontId="2" type="noConversion"/>
  </si>
  <si>
    <t xml:space="preserve"> = √2 x IIN_rms</t>
    <phoneticPr fontId="2" type="noConversion"/>
  </si>
  <si>
    <t xml:space="preserve"> = IIN_rms ^2 x Rin</t>
    <phoneticPr fontId="2" type="noConversion"/>
  </si>
  <si>
    <t xml:space="preserve"> = Rin / 2</t>
    <phoneticPr fontId="2" type="noConversion"/>
  </si>
  <si>
    <t>Rin1', Rin2'</t>
    <phoneticPr fontId="2" type="noConversion"/>
  </si>
  <si>
    <t>적용 저항 정격 이하 값을 만족</t>
    <phoneticPr fontId="2" type="noConversion"/>
  </si>
  <si>
    <t>N_Rin</t>
    <phoneticPr fontId="2" type="noConversion"/>
  </si>
  <si>
    <t>WRin</t>
    <phoneticPr fontId="2" type="noConversion"/>
  </si>
  <si>
    <t>Wtotal</t>
    <phoneticPr fontId="2" type="noConversion"/>
  </si>
  <si>
    <t>WRin/N</t>
    <phoneticPr fontId="2" type="noConversion"/>
  </si>
  <si>
    <t>적용 센서 모델 : LV 25-P (기존 LV25-P PCB 사용 시)</t>
    <phoneticPr fontId="2" type="noConversion"/>
  </si>
  <si>
    <t>1차측 개별저항 계산</t>
    <phoneticPr fontId="2" type="noConversion"/>
  </si>
  <si>
    <t>1차측 설치 개별저항</t>
    <phoneticPr fontId="2" type="noConversion"/>
  </si>
  <si>
    <t xml:space="preserve"> SMD6432</t>
    <phoneticPr fontId="2" type="noConversion"/>
  </si>
  <si>
    <t xml:space="preserve"> UP/DOWN 각각 12EA</t>
    <phoneticPr fontId="2" type="noConversion"/>
  </si>
  <si>
    <t>1차측 실제 피크전류</t>
    <phoneticPr fontId="2" type="noConversion"/>
  </si>
  <si>
    <t>1차측 개별저항 용량</t>
    <phoneticPr fontId="2" type="noConversion"/>
  </si>
  <si>
    <t>2차측 센싱 저항</t>
    <phoneticPr fontId="2" type="noConversion"/>
  </si>
  <si>
    <t>2차측 실제 센싱저항</t>
    <phoneticPr fontId="2" type="noConversion"/>
  </si>
  <si>
    <t>2차측 저항용량</t>
    <phoneticPr fontId="2" type="noConversion"/>
  </si>
  <si>
    <t>2차측 센싱 피크전압</t>
    <phoneticPr fontId="2" type="noConversion"/>
  </si>
  <si>
    <t>196F/SMD3216 병렬 (1W)</t>
    <phoneticPr fontId="2" type="noConversion"/>
  </si>
  <si>
    <t>3.3V 이하가 되어야 한다.</t>
    <phoneticPr fontId="2" type="noConversion"/>
  </si>
  <si>
    <t>1W 이하가 되어야 한다.</t>
    <phoneticPr fontId="2" type="noConversion"/>
  </si>
  <si>
    <t>계산치에 근접한 저항 사용</t>
    <phoneticPr fontId="2" type="noConversion"/>
  </si>
  <si>
    <t xml:space="preserve"> = Rin1' / N_Rin</t>
    <phoneticPr fontId="2" type="noConversion"/>
  </si>
  <si>
    <r>
      <t>R</t>
    </r>
    <r>
      <rPr>
        <sz val="9"/>
        <color theme="1"/>
        <rFont val="맑은 고딕"/>
        <family val="3"/>
        <charset val="129"/>
        <scheme val="minor"/>
      </rPr>
      <t>PRI</t>
    </r>
    <phoneticPr fontId="2" type="noConversion"/>
  </si>
  <si>
    <r>
      <t xml:space="preserve"> = VIN_peak / (N_Rin x R</t>
    </r>
    <r>
      <rPr>
        <sz val="9"/>
        <color theme="1"/>
        <rFont val="맑은 고딕"/>
        <family val="3"/>
        <charset val="129"/>
        <scheme val="minor"/>
      </rPr>
      <t>PRI</t>
    </r>
    <r>
      <rPr>
        <sz val="11"/>
        <color theme="1"/>
        <rFont val="맑은 고딕"/>
        <family val="2"/>
        <charset val="129"/>
        <scheme val="minor"/>
      </rPr>
      <t>)</t>
    </r>
    <phoneticPr fontId="2" type="noConversion"/>
  </si>
  <si>
    <r>
      <t>I</t>
    </r>
    <r>
      <rPr>
        <sz val="9"/>
        <color theme="1"/>
        <rFont val="맑은 고딕"/>
        <family val="3"/>
        <charset val="129"/>
        <scheme val="minor"/>
      </rPr>
      <t>PRI_PEAK</t>
    </r>
    <phoneticPr fontId="2" type="noConversion"/>
  </si>
  <si>
    <r>
      <t>W_</t>
    </r>
    <r>
      <rPr>
        <sz val="9"/>
        <color theme="1"/>
        <rFont val="맑은 고딕"/>
        <family val="3"/>
        <charset val="129"/>
        <scheme val="minor"/>
      </rPr>
      <t>RPRI</t>
    </r>
    <phoneticPr fontId="2" type="noConversion"/>
  </si>
  <si>
    <r>
      <t>I</t>
    </r>
    <r>
      <rPr>
        <sz val="9"/>
        <color theme="1"/>
        <rFont val="맑은 고딕"/>
        <family val="3"/>
        <charset val="129"/>
        <scheme val="minor"/>
      </rPr>
      <t>SEC_PEAK</t>
    </r>
    <phoneticPr fontId="2" type="noConversion"/>
  </si>
  <si>
    <r>
      <t>V</t>
    </r>
    <r>
      <rPr>
        <sz val="9"/>
        <color theme="1"/>
        <rFont val="맑은 고딕"/>
        <family val="3"/>
        <charset val="129"/>
        <scheme val="minor"/>
      </rPr>
      <t>IN_SEN</t>
    </r>
    <phoneticPr fontId="2" type="noConversion"/>
  </si>
  <si>
    <r>
      <t>V</t>
    </r>
    <r>
      <rPr>
        <sz val="9"/>
        <color theme="1"/>
        <rFont val="맑은 고딕"/>
        <family val="3"/>
        <charset val="129"/>
        <scheme val="minor"/>
      </rPr>
      <t>IN_SEN1</t>
    </r>
    <phoneticPr fontId="2" type="noConversion"/>
  </si>
  <si>
    <r>
      <t>R</t>
    </r>
    <r>
      <rPr>
        <sz val="9"/>
        <color theme="1"/>
        <rFont val="맑은 고딕"/>
        <family val="3"/>
        <charset val="129"/>
        <scheme val="minor"/>
      </rPr>
      <t>SEC1</t>
    </r>
    <phoneticPr fontId="2" type="noConversion"/>
  </si>
  <si>
    <r>
      <t>R</t>
    </r>
    <r>
      <rPr>
        <sz val="9"/>
        <color theme="1"/>
        <rFont val="맑은 고딕"/>
        <family val="3"/>
        <charset val="129"/>
        <scheme val="minor"/>
      </rPr>
      <t>SEC</t>
    </r>
    <phoneticPr fontId="2" type="noConversion"/>
  </si>
  <si>
    <r>
      <t>W</t>
    </r>
    <r>
      <rPr>
        <sz val="9"/>
        <color theme="1"/>
        <rFont val="맑은 고딕"/>
        <family val="3"/>
        <charset val="129"/>
        <scheme val="minor"/>
      </rPr>
      <t>RSEC</t>
    </r>
    <phoneticPr fontId="2" type="noConversion"/>
  </si>
  <si>
    <r>
      <t xml:space="preserve"> = PT턴비 x I</t>
    </r>
    <r>
      <rPr>
        <sz val="9"/>
        <color theme="1"/>
        <rFont val="맑은 고딕"/>
        <family val="3"/>
        <charset val="129"/>
        <scheme val="minor"/>
      </rPr>
      <t>PRI_PEAK</t>
    </r>
    <phoneticPr fontId="2" type="noConversion"/>
  </si>
  <si>
    <r>
      <t xml:space="preserve"> = V</t>
    </r>
    <r>
      <rPr>
        <sz val="9"/>
        <color theme="1"/>
        <rFont val="맑은 고딕"/>
        <family val="3"/>
        <charset val="129"/>
        <scheme val="minor"/>
      </rPr>
      <t>IN_SEN1</t>
    </r>
    <r>
      <rPr>
        <sz val="11"/>
        <color theme="1"/>
        <rFont val="맑은 고딕"/>
        <family val="2"/>
        <charset val="129"/>
        <scheme val="minor"/>
      </rPr>
      <t xml:space="preserve"> / I</t>
    </r>
    <r>
      <rPr>
        <sz val="9"/>
        <color theme="1"/>
        <rFont val="맑은 고딕"/>
        <family val="3"/>
        <charset val="129"/>
        <scheme val="minor"/>
      </rPr>
      <t>SEC_PEAK</t>
    </r>
    <phoneticPr fontId="2" type="noConversion"/>
  </si>
  <si>
    <t xml:space="preserve"> =</t>
    <phoneticPr fontId="2" type="noConversion"/>
  </si>
  <si>
    <r>
      <t xml:space="preserve"> = I</t>
    </r>
    <r>
      <rPr>
        <sz val="9"/>
        <color theme="1"/>
        <rFont val="맑은 고딕"/>
        <family val="3"/>
        <charset val="129"/>
        <scheme val="minor"/>
      </rPr>
      <t>SEC_PEAK</t>
    </r>
    <r>
      <rPr>
        <sz val="11"/>
        <color theme="1"/>
        <rFont val="맑은 고딕"/>
        <family val="2"/>
        <charset val="129"/>
        <scheme val="minor"/>
      </rPr>
      <t>^2 x R</t>
    </r>
    <r>
      <rPr>
        <sz val="9"/>
        <color theme="1"/>
        <rFont val="맑은 고딕"/>
        <family val="3"/>
        <charset val="129"/>
        <scheme val="minor"/>
      </rPr>
      <t>SEC</t>
    </r>
    <phoneticPr fontId="2" type="noConversion"/>
  </si>
  <si>
    <t>VREF =</t>
    <phoneticPr fontId="2" type="noConversion"/>
  </si>
  <si>
    <t>VCC=</t>
    <phoneticPr fontId="2" type="noConversion"/>
  </si>
  <si>
    <t>VIN MIN =</t>
    <phoneticPr fontId="2" type="noConversion"/>
  </si>
  <si>
    <t>→</t>
    <phoneticPr fontId="2" type="noConversion"/>
  </si>
  <si>
    <t>VOUT MIN =</t>
    <phoneticPr fontId="2" type="noConversion"/>
  </si>
  <si>
    <t>VIN MAX =</t>
    <phoneticPr fontId="2" type="noConversion"/>
  </si>
  <si>
    <t>VOUT MAX =</t>
    <phoneticPr fontId="2" type="noConversion"/>
  </si>
  <si>
    <t>m =</t>
    <phoneticPr fontId="2" type="noConversion"/>
  </si>
  <si>
    <t>b =</t>
    <phoneticPr fontId="2" type="noConversion"/>
  </si>
  <si>
    <t>계산치</t>
    <phoneticPr fontId="2" type="noConversion"/>
  </si>
  <si>
    <t>실측치</t>
    <phoneticPr fontId="2" type="noConversion"/>
  </si>
  <si>
    <t>Vref</t>
    <phoneticPr fontId="2" type="noConversion"/>
  </si>
  <si>
    <t>R1</t>
    <phoneticPr fontId="2" type="noConversion"/>
  </si>
  <si>
    <t>R2</t>
    <phoneticPr fontId="2" type="noConversion"/>
  </si>
  <si>
    <t>m</t>
    <phoneticPr fontId="2" type="noConversion"/>
  </si>
  <si>
    <t>b</t>
    <phoneticPr fontId="2" type="noConversion"/>
  </si>
  <si>
    <t>VOUT =</t>
    <phoneticPr fontId="2" type="noConversion"/>
  </si>
  <si>
    <t>x</t>
    <phoneticPr fontId="2" type="noConversion"/>
  </si>
  <si>
    <t xml:space="preserve"> +</t>
    <phoneticPr fontId="2" type="noConversion"/>
  </si>
  <si>
    <t>전달함수 수식</t>
    <phoneticPr fontId="2" type="noConversion"/>
  </si>
  <si>
    <t xml:space="preserve"> - 분압방식 참조</t>
    <phoneticPr fontId="2" type="noConversion"/>
  </si>
  <si>
    <t>전달함수 : VOUT = m x VIN + VREF</t>
    <phoneticPr fontId="2" type="noConversion"/>
  </si>
  <si>
    <t>VIN_SEN = ISEC_PEAK x RSEC</t>
    <phoneticPr fontId="2" type="noConversion"/>
  </si>
  <si>
    <t xml:space="preserve">ISEC_PEAK = 턴비 x IPRI_PEAK </t>
    <phoneticPr fontId="2" type="noConversion"/>
  </si>
  <si>
    <t>IPRI_PEAK = VIN_PEAK / (N x RPRI)</t>
    <phoneticPr fontId="2" type="noConversion"/>
  </si>
  <si>
    <t>VIN_PEAK = √2 x VIN_rms</t>
    <phoneticPr fontId="2" type="noConversion"/>
  </si>
  <si>
    <t>VIN_SEN = 턴비 x IPRI_PEAK x RSEC</t>
    <phoneticPr fontId="2" type="noConversion"/>
  </si>
  <si>
    <t>수식전계</t>
    <phoneticPr fontId="2" type="noConversion"/>
  </si>
  <si>
    <t xml:space="preserve"> = 턴비 x (VIN_PEAK / (N x RPRI)) x RSEC</t>
    <phoneticPr fontId="2" type="noConversion"/>
  </si>
  <si>
    <t xml:space="preserve"> = 턴비 x (√2 x VIN_rms / (N x RPRI)) x RSEC</t>
    <phoneticPr fontId="2" type="noConversion"/>
  </si>
  <si>
    <t>VIN_rms = (VIN_SEN x  N x RPRI) / (1.2 x √2 x 턴비 x RSEC)</t>
    <phoneticPr fontId="2" type="noConversion"/>
  </si>
  <si>
    <t>VIN_rms = (VIN_SEN x  N x RPRI) / (√2 x 턴비 x RSEC)</t>
    <phoneticPr fontId="2" type="noConversion"/>
  </si>
  <si>
    <t xml:space="preserve">수식 </t>
    <phoneticPr fontId="2" type="noConversion"/>
  </si>
  <si>
    <t>VIN_rms = (VIN x  N x RPRI) / (√2 x 턴비 x RSEC)</t>
    <phoneticPr fontId="2" type="noConversion"/>
  </si>
  <si>
    <t>VIN = (VOUT-1.65) / 0.499666667</t>
    <phoneticPr fontId="2" type="noConversion"/>
  </si>
  <si>
    <t xml:space="preserve">            = (((ADC / 2^12) x 3.3V-1.65V) /0.499666667)  x  N x RPRI) / (1.2 x √2 x 턴비 x RSEC)</t>
    <phoneticPr fontId="2" type="noConversion"/>
  </si>
  <si>
    <t xml:space="preserve"> = ((((ADC/4096) x 3.3 - 1.65) / 0.499667) x 24 x 2000) / (1.4142135 x 98)</t>
    <phoneticPr fontId="2" type="noConversion"/>
  </si>
  <si>
    <t>VIN = (ADC / 2^12 x 3.3V-1.65V) / 0.499667</t>
    <phoneticPr fontId="2" type="noConversion"/>
  </si>
  <si>
    <t>최종 입력전압 산출 수식</t>
    <phoneticPr fontId="2" type="noConversion"/>
  </si>
  <si>
    <t xml:space="preserve"> -&gt; 계산 확인</t>
    <phoneticPr fontId="2" type="noConversion"/>
  </si>
  <si>
    <t>(여기서 1.2는 120% 과전압 계산을 위함)</t>
    <phoneticPr fontId="2" type="noConversion"/>
  </si>
  <si>
    <t>3. 입력전류 센싱</t>
    <phoneticPr fontId="2" type="noConversion"/>
  </si>
  <si>
    <t xml:space="preserve"> - 본 문서는 LTS15-NP와 LA25-P를 각각 적용한 방식에 대한 설계를 포함한다.</t>
    <phoneticPr fontId="2" type="noConversion"/>
  </si>
  <si>
    <t>3.1 LTS15-NP를 적용한 입력전류 센싱</t>
    <phoneticPr fontId="2" type="noConversion"/>
  </si>
  <si>
    <t>적용 센서 모델 : LTS15-NP</t>
    <phoneticPr fontId="2" type="noConversion"/>
  </si>
  <si>
    <r>
      <t>I</t>
    </r>
    <r>
      <rPr>
        <sz val="9"/>
        <color theme="1"/>
        <rFont val="맑은 고딕"/>
        <family val="3"/>
        <charset val="129"/>
        <scheme val="minor"/>
      </rPr>
      <t>PN</t>
    </r>
    <phoneticPr fontId="2" type="noConversion"/>
  </si>
  <si>
    <t>A</t>
    <phoneticPr fontId="2" type="noConversion"/>
  </si>
  <si>
    <t>1차측 정격 RMS 전류</t>
    <phoneticPr fontId="2" type="noConversion"/>
  </si>
  <si>
    <t>1차측 측정범위</t>
    <phoneticPr fontId="2" type="noConversion"/>
  </si>
  <si>
    <t>±48</t>
    <phoneticPr fontId="2" type="noConversion"/>
  </si>
  <si>
    <r>
      <t>I</t>
    </r>
    <r>
      <rPr>
        <sz val="9"/>
        <color theme="1"/>
        <rFont val="맑은 고딕"/>
        <family val="3"/>
        <charset val="129"/>
        <scheme val="minor"/>
      </rPr>
      <t>PM</t>
    </r>
    <phoneticPr fontId="2" type="noConversion"/>
  </si>
  <si>
    <t>1차측 과전류</t>
    <phoneticPr fontId="2" type="noConversion"/>
  </si>
  <si>
    <r>
      <t>I</t>
    </r>
    <r>
      <rPr>
        <sz val="9"/>
        <color theme="1"/>
        <rFont val="맑은 고딕"/>
        <family val="3"/>
        <charset val="129"/>
        <scheme val="minor"/>
      </rPr>
      <t>P</t>
    </r>
    <phoneticPr fontId="2" type="noConversion"/>
  </si>
  <si>
    <r>
      <t>V</t>
    </r>
    <r>
      <rPr>
        <sz val="9"/>
        <color theme="1"/>
        <rFont val="맑은 고딕"/>
        <family val="3"/>
        <charset val="129"/>
        <scheme val="minor"/>
      </rPr>
      <t>OUT</t>
    </r>
    <phoneticPr fontId="2" type="noConversion"/>
  </si>
  <si>
    <r>
      <t>2.5±(0.625 x I</t>
    </r>
    <r>
      <rPr>
        <sz val="9"/>
        <color theme="1"/>
        <rFont val="맑은 고딕"/>
        <family val="3"/>
        <charset val="129"/>
        <scheme val="minor"/>
      </rPr>
      <t>P</t>
    </r>
    <r>
      <rPr>
        <sz val="11"/>
        <color theme="1"/>
        <rFont val="맑은 고딕"/>
        <family val="3"/>
        <charset val="129"/>
        <scheme val="minor"/>
      </rPr>
      <t>/I</t>
    </r>
    <r>
      <rPr>
        <sz val="9"/>
        <color theme="1"/>
        <rFont val="맑은 고딕"/>
        <family val="3"/>
        <charset val="129"/>
        <scheme val="minor"/>
      </rPr>
      <t>PN</t>
    </r>
    <r>
      <rPr>
        <sz val="11"/>
        <color theme="1"/>
        <rFont val="맑은 고딕"/>
        <family val="3"/>
        <charset val="129"/>
        <scheme val="minor"/>
      </rPr>
      <t>)</t>
    </r>
    <phoneticPr fontId="2" type="noConversion"/>
  </si>
  <si>
    <t>감도</t>
    <phoneticPr fontId="2" type="noConversion"/>
  </si>
  <si>
    <t>mV/A</t>
    <phoneticPr fontId="2" type="noConversion"/>
  </si>
  <si>
    <t>턴비율</t>
    <phoneticPr fontId="2" type="noConversion"/>
  </si>
  <si>
    <r>
      <t>N</t>
    </r>
    <r>
      <rPr>
        <sz val="9"/>
        <color theme="1"/>
        <rFont val="맑은 고딕"/>
        <family val="3"/>
        <charset val="129"/>
        <scheme val="minor"/>
      </rPr>
      <t>S</t>
    </r>
    <phoneticPr fontId="2" type="noConversion"/>
  </si>
  <si>
    <t>공급전압</t>
    <phoneticPr fontId="2" type="noConversion"/>
  </si>
  <si>
    <r>
      <t>U</t>
    </r>
    <r>
      <rPr>
        <sz val="9"/>
        <color theme="1"/>
        <rFont val="맑은 고딕"/>
        <family val="3"/>
        <charset val="129"/>
        <scheme val="minor"/>
      </rPr>
      <t>C</t>
    </r>
    <phoneticPr fontId="2" type="noConversion"/>
  </si>
  <si>
    <t>소비전류</t>
    <phoneticPr fontId="2" type="noConversion"/>
  </si>
  <si>
    <r>
      <t>I</t>
    </r>
    <r>
      <rPr>
        <sz val="9"/>
        <color theme="1"/>
        <rFont val="맑은 고딕"/>
        <family val="3"/>
        <charset val="129"/>
        <scheme val="minor"/>
      </rPr>
      <t>C</t>
    </r>
    <phoneticPr fontId="2" type="noConversion"/>
  </si>
  <si>
    <r>
      <t>28+I</t>
    </r>
    <r>
      <rPr>
        <sz val="9"/>
        <color theme="1"/>
        <rFont val="맑은 고딕"/>
        <family val="3"/>
        <charset val="129"/>
        <scheme val="minor"/>
      </rPr>
      <t>P</t>
    </r>
    <r>
      <rPr>
        <sz val="11"/>
        <color theme="1"/>
        <rFont val="맑은 고딕"/>
        <family val="2"/>
        <charset val="129"/>
        <scheme val="minor"/>
      </rPr>
      <t>/N</t>
    </r>
    <r>
      <rPr>
        <sz val="9"/>
        <color theme="1"/>
        <rFont val="맑은 고딕"/>
        <family val="3"/>
        <charset val="129"/>
        <scheme val="minor"/>
      </rPr>
      <t>S</t>
    </r>
    <r>
      <rPr>
        <sz val="11"/>
        <color theme="1"/>
        <rFont val="맑은 고딕"/>
        <family val="2"/>
        <charset val="129"/>
        <scheme val="minor"/>
      </rPr>
      <t>(V</t>
    </r>
    <r>
      <rPr>
        <sz val="9"/>
        <color theme="1"/>
        <rFont val="맑은 고딕"/>
        <family val="3"/>
        <charset val="129"/>
        <scheme val="minor"/>
      </rPr>
      <t>OUT</t>
    </r>
    <r>
      <rPr>
        <sz val="11"/>
        <color theme="1"/>
        <rFont val="맑은 고딕"/>
        <family val="2"/>
        <charset val="129"/>
        <scheme val="minor"/>
      </rPr>
      <t>/R</t>
    </r>
    <r>
      <rPr>
        <sz val="9"/>
        <color theme="1"/>
        <rFont val="맑은 고딕"/>
        <family val="3"/>
        <charset val="129"/>
        <scheme val="minor"/>
      </rPr>
      <t>L</t>
    </r>
    <r>
      <rPr>
        <sz val="11"/>
        <color theme="1"/>
        <rFont val="맑은 고딕"/>
        <family val="2"/>
        <charset val="129"/>
        <scheme val="minor"/>
      </rPr>
      <t>)</t>
    </r>
    <phoneticPr fontId="2" type="noConversion"/>
  </si>
  <si>
    <t>1차측 RMS 전류</t>
    <phoneticPr fontId="2" type="noConversion"/>
  </si>
  <si>
    <t>1차측 피크 전류</t>
    <phoneticPr fontId="2" type="noConversion"/>
  </si>
  <si>
    <r>
      <t>I</t>
    </r>
    <r>
      <rPr>
        <sz val="9"/>
        <color theme="1"/>
        <rFont val="맑은 고딕"/>
        <family val="3"/>
        <charset val="129"/>
        <scheme val="minor"/>
      </rPr>
      <t>PEAK</t>
    </r>
    <phoneticPr fontId="2" type="noConversion"/>
  </si>
  <si>
    <r>
      <t>V</t>
    </r>
    <r>
      <rPr>
        <sz val="9"/>
        <color theme="1"/>
        <rFont val="맑은 고딕"/>
        <family val="3"/>
        <charset val="129"/>
        <scheme val="minor"/>
      </rPr>
      <t>OUT</t>
    </r>
    <r>
      <rPr>
        <sz val="11"/>
        <color theme="1"/>
        <rFont val="맑은 고딕"/>
        <family val="2"/>
        <charset val="129"/>
        <scheme val="minor"/>
      </rPr>
      <t>_</t>
    </r>
    <r>
      <rPr>
        <sz val="9"/>
        <color theme="1"/>
        <rFont val="맑은 고딕"/>
        <family val="3"/>
        <charset val="129"/>
        <scheme val="minor"/>
      </rPr>
      <t>P</t>
    </r>
    <phoneticPr fontId="2" type="noConversion"/>
  </si>
  <si>
    <r>
      <t>V</t>
    </r>
    <r>
      <rPr>
        <sz val="9"/>
        <color theme="1"/>
        <rFont val="맑은 고딕"/>
        <family val="3"/>
        <charset val="129"/>
        <scheme val="minor"/>
      </rPr>
      <t>OUT_N</t>
    </r>
    <phoneticPr fontId="2" type="noConversion"/>
  </si>
  <si>
    <t xml:space="preserve"> = 2.5 + IPEAK x G x 10^-3</t>
    <phoneticPr fontId="2" type="noConversion"/>
  </si>
  <si>
    <t xml:space="preserve"> = 2.5 - IPEAK x G x 10^-3</t>
    <phoneticPr fontId="2" type="noConversion"/>
  </si>
  <si>
    <t>13kW 조건</t>
    <phoneticPr fontId="2" type="noConversion"/>
  </si>
  <si>
    <t xml:space="preserve"> -</t>
    <phoneticPr fontId="2" type="noConversion"/>
  </si>
  <si>
    <t>|b| =</t>
    <phoneticPr fontId="2" type="noConversion"/>
  </si>
  <si>
    <t>R1과 R2의 병렬 저항값이 RG보다 아주 작으면</t>
    <phoneticPr fontId="2" type="noConversion"/>
  </si>
  <si>
    <t>R1 =</t>
    <phoneticPr fontId="2" type="noConversion"/>
  </si>
  <si>
    <t>R2 =</t>
    <phoneticPr fontId="2" type="noConversion"/>
  </si>
  <si>
    <t>RG =</t>
    <phoneticPr fontId="2" type="noConversion"/>
  </si>
  <si>
    <t>RF =</t>
    <phoneticPr fontId="2" type="noConversion"/>
  </si>
  <si>
    <t>시뮬레이션값 R1=5.36k, R2=16.2k, RG=40.2k, RF=30.1k</t>
    <phoneticPr fontId="2" type="noConversion"/>
  </si>
  <si>
    <t>RG</t>
    <phoneticPr fontId="2" type="noConversion"/>
  </si>
  <si>
    <t>RF</t>
    <phoneticPr fontId="2" type="noConversion"/>
  </si>
  <si>
    <t>R1||R2</t>
    <phoneticPr fontId="2" type="noConversion"/>
  </si>
  <si>
    <t xml:space="preserve"> - 전압센싱의 분압방식 참조</t>
    <phoneticPr fontId="2" type="noConversion"/>
  </si>
  <si>
    <t>수식</t>
    <phoneticPr fontId="2" type="noConversion"/>
  </si>
  <si>
    <t>#전류센서 전달함수</t>
    <phoneticPr fontId="2" type="noConversion"/>
  </si>
  <si>
    <t xml:space="preserve"> = √2 x IPN</t>
    <phoneticPr fontId="2" type="noConversion"/>
  </si>
  <si>
    <t>VOUT = 2.5 + (IPEAK x G x 10^-3) = 2.5 + (√2 x IPN x G x 10^-3)</t>
    <phoneticPr fontId="2" type="noConversion"/>
  </si>
  <si>
    <t>#증폭기 전달함수</t>
    <phoneticPr fontId="2" type="noConversion"/>
  </si>
  <si>
    <t>#ADC 센싱</t>
    <phoneticPr fontId="2" type="noConversion"/>
  </si>
  <si>
    <t>VOUT1 = 2.5 + (IPEAK x G x 10^-3) = 2.5 + (√2 x IPN x G x 10^-3)</t>
    <phoneticPr fontId="2" type="noConversion"/>
  </si>
  <si>
    <t>IPN = (VOUT1 - 2.5) / (√2 x G x 10^-3)</t>
    <phoneticPr fontId="2" type="noConversion"/>
  </si>
  <si>
    <t>VOUT2 = m x VIN - b = 1.404981 x VIN1 - 1.8336199</t>
    <phoneticPr fontId="2" type="noConversion"/>
  </si>
  <si>
    <t>VIN1 = (VOUT2 + 1.8336199) / 1.404981</t>
    <phoneticPr fontId="2" type="noConversion"/>
  </si>
  <si>
    <t>VOUT2 = ADC / 2^12 x 3.3V</t>
    <phoneticPr fontId="2" type="noConversion"/>
  </si>
  <si>
    <t xml:space="preserve"> = ( ( (VOUT2 + 1.8336199) / 1.404981) - 2.5) / (√2 x G x 10^-3)</t>
    <phoneticPr fontId="2" type="noConversion"/>
  </si>
  <si>
    <t xml:space="preserve"> = ( ( ( (ADC / 2^12 x 3.3V) + 1.8336199) / 1.404981) - 2.5) / (√2 x G x 10^-3)</t>
    <phoneticPr fontId="2" type="noConversion"/>
  </si>
  <si>
    <t>입력전류 산출 소스</t>
    <phoneticPr fontId="2" type="noConversion"/>
  </si>
  <si>
    <t>I_RMS (PN) = (VOUT1 - 2.5) / (√2 x G x 10^-3)</t>
    <phoneticPr fontId="2" type="noConversion"/>
  </si>
  <si>
    <t>3.2 LA25-P를 적용한 입력전류센싱</t>
    <phoneticPr fontId="2" type="noConversion"/>
  </si>
  <si>
    <t>±55</t>
    <phoneticPr fontId="2" type="noConversion"/>
  </si>
  <si>
    <r>
      <t>R</t>
    </r>
    <r>
      <rPr>
        <sz val="9"/>
        <color theme="1"/>
        <rFont val="맑은 고딕"/>
        <family val="3"/>
        <charset val="129"/>
        <scheme val="minor"/>
      </rPr>
      <t>M</t>
    </r>
    <phoneticPr fontId="2" type="noConversion"/>
  </si>
  <si>
    <t>10~280</t>
    <phoneticPr fontId="2" type="noConversion"/>
  </si>
  <si>
    <t>±25A with ±12V</t>
    <phoneticPr fontId="2" type="noConversion"/>
  </si>
  <si>
    <t>10~80</t>
    <phoneticPr fontId="2" type="noConversion"/>
  </si>
  <si>
    <t>±55A with ±12V</t>
    <phoneticPr fontId="2" type="noConversion"/>
  </si>
  <si>
    <t>50~400</t>
    <phoneticPr fontId="2" type="noConversion"/>
  </si>
  <si>
    <t>±25A with ±15V</t>
    <phoneticPr fontId="2" type="noConversion"/>
  </si>
  <si>
    <t>50~140</t>
    <phoneticPr fontId="2" type="noConversion"/>
  </si>
  <si>
    <t>±55A with ±15V</t>
    <phoneticPr fontId="2" type="noConversion"/>
  </si>
  <si>
    <t>센싱 저항</t>
    <phoneticPr fontId="2" type="noConversion"/>
  </si>
  <si>
    <t>2차측 RMS 전류</t>
    <phoneticPr fontId="2" type="noConversion"/>
  </si>
  <si>
    <t>권선비</t>
    <phoneticPr fontId="2" type="noConversion"/>
  </si>
  <si>
    <r>
      <t>I</t>
    </r>
    <r>
      <rPr>
        <sz val="9"/>
        <color theme="1"/>
        <rFont val="맑은 고딕"/>
        <family val="3"/>
        <charset val="129"/>
        <scheme val="minor"/>
      </rPr>
      <t>SN</t>
    </r>
    <phoneticPr fontId="2" type="noConversion"/>
  </si>
  <si>
    <r>
      <t>K</t>
    </r>
    <r>
      <rPr>
        <sz val="9"/>
        <color theme="1"/>
        <rFont val="맑은 고딕"/>
        <family val="3"/>
        <charset val="129"/>
        <scheme val="minor"/>
      </rPr>
      <t>N</t>
    </r>
    <phoneticPr fontId="2" type="noConversion"/>
  </si>
  <si>
    <t>입력전류센싱 20Arms (13kW)</t>
    <phoneticPr fontId="2" type="noConversion"/>
  </si>
  <si>
    <t>적용 센서 모델 : LA25-NP</t>
    <phoneticPr fontId="2" type="noConversion"/>
  </si>
  <si>
    <t>희망 출력전압</t>
    <phoneticPr fontId="2" type="noConversion"/>
  </si>
  <si>
    <r>
      <rPr>
        <sz val="11"/>
        <color theme="1"/>
        <rFont val="맑은 고딕"/>
        <family val="3"/>
        <charset val="129"/>
      </rPr>
      <t>±</t>
    </r>
    <r>
      <rPr>
        <sz val="9.35"/>
        <color theme="1"/>
        <rFont val="맑은 고딕"/>
        <family val="3"/>
        <charset val="129"/>
      </rPr>
      <t>3.3V</t>
    </r>
    <phoneticPr fontId="2" type="noConversion"/>
  </si>
  <si>
    <t>2차측 피크 전류</t>
    <phoneticPr fontId="2" type="noConversion"/>
  </si>
  <si>
    <t>±3.3V</t>
    <phoneticPr fontId="2" type="noConversion"/>
  </si>
  <si>
    <r>
      <t>R</t>
    </r>
    <r>
      <rPr>
        <sz val="9"/>
        <color theme="1"/>
        <rFont val="맑은 고딕"/>
        <family val="3"/>
        <charset val="129"/>
        <scheme val="minor"/>
      </rPr>
      <t>SENS</t>
    </r>
    <phoneticPr fontId="2" type="noConversion"/>
  </si>
  <si>
    <r>
      <t>R</t>
    </r>
    <r>
      <rPr>
        <sz val="9"/>
        <color theme="1"/>
        <rFont val="맑은 고딕"/>
        <family val="3"/>
        <charset val="129"/>
        <scheme val="minor"/>
      </rPr>
      <t>SENS</t>
    </r>
    <r>
      <rPr>
        <sz val="11"/>
        <color theme="1"/>
        <rFont val="맑은 고딕"/>
        <family val="2"/>
        <charset val="129"/>
        <scheme val="minor"/>
      </rPr>
      <t>1</t>
    </r>
    <phoneticPr fontId="2" type="noConversion"/>
  </si>
  <si>
    <t>2차측 센싱저항 적용값</t>
    <phoneticPr fontId="2" type="noConversion"/>
  </si>
  <si>
    <t>2차측 센싱저항 계산값</t>
    <phoneticPr fontId="2" type="noConversion"/>
  </si>
  <si>
    <t>SMD3216</t>
    <phoneticPr fontId="2" type="noConversion"/>
  </si>
  <si>
    <t>센싱 전압</t>
    <phoneticPr fontId="2" type="noConversion"/>
  </si>
  <si>
    <t>±전압</t>
    <phoneticPr fontId="2" type="noConversion"/>
  </si>
  <si>
    <r>
      <t>V</t>
    </r>
    <r>
      <rPr>
        <sz val="9"/>
        <color theme="1"/>
        <rFont val="맑은 고딕"/>
        <family val="3"/>
        <charset val="129"/>
        <scheme val="minor"/>
      </rPr>
      <t>SENS</t>
    </r>
    <phoneticPr fontId="2" type="noConversion"/>
  </si>
  <si>
    <t>2병렬 SMD3216</t>
    <phoneticPr fontId="2" type="noConversion"/>
  </si>
  <si>
    <t>개별저항 용량</t>
    <phoneticPr fontId="2" type="noConversion"/>
  </si>
  <si>
    <r>
      <t>W</t>
    </r>
    <r>
      <rPr>
        <sz val="9"/>
        <color theme="1"/>
        <rFont val="맑은 고딕"/>
        <family val="3"/>
        <charset val="129"/>
        <scheme val="minor"/>
      </rPr>
      <t>R</t>
    </r>
    <phoneticPr fontId="2" type="noConversion"/>
  </si>
  <si>
    <t>1W 미만이 되어야 함</t>
    <phoneticPr fontId="2" type="noConversion"/>
  </si>
  <si>
    <r>
      <rPr>
        <sz val="11"/>
        <color theme="1"/>
        <rFont val="맑은 고딕"/>
        <family val="3"/>
        <charset val="129"/>
        <scheme val="minor"/>
      </rPr>
      <t>I</t>
    </r>
    <r>
      <rPr>
        <sz val="9"/>
        <color theme="1"/>
        <rFont val="맑은 고딕"/>
        <family val="3"/>
        <charset val="129"/>
        <scheme val="minor"/>
      </rPr>
      <t>PRI_PEAK</t>
    </r>
    <phoneticPr fontId="2" type="noConversion"/>
  </si>
  <si>
    <r>
      <t>I</t>
    </r>
    <r>
      <rPr>
        <sz val="9"/>
        <color theme="1"/>
        <rFont val="맑은 고딕"/>
        <family val="3"/>
        <charset val="129"/>
        <scheme val="minor"/>
      </rPr>
      <t>PRI</t>
    </r>
    <phoneticPr fontId="2" type="noConversion"/>
  </si>
  <si>
    <t xml:space="preserve"> = √2 x IPRI</t>
    <phoneticPr fontId="2" type="noConversion"/>
  </si>
  <si>
    <t>VSENS = RSENS x ISEC_PEAK = RSENS x IPRI_PEAK = RSENS x √2 x IPRI</t>
    <phoneticPr fontId="2" type="noConversion"/>
  </si>
  <si>
    <t># 전류센서 전달함수</t>
    <phoneticPr fontId="2" type="noConversion"/>
  </si>
  <si>
    <t># 증폭기 전달함수</t>
    <phoneticPr fontId="2" type="noConversion"/>
  </si>
  <si>
    <t>VOUT = 0.4996667 x VIN + 1.65</t>
    <phoneticPr fontId="2" type="noConversion"/>
  </si>
  <si>
    <t># ADC</t>
    <phoneticPr fontId="2" type="noConversion"/>
  </si>
  <si>
    <t>VIN = ( (ADC / 2^12 x 3.3V) - 1.65) / 0.499666667</t>
    <phoneticPr fontId="2" type="noConversion"/>
  </si>
  <si>
    <t>VSENS = RSENS x ISEC_PEAK = RSENS x IPRI_PEAK / KN = RSENS x √2 x IPRI / KN</t>
    <phoneticPr fontId="2" type="noConversion"/>
  </si>
  <si>
    <t>IPRI = (VSENS x KN) / (√2 x RSENS)</t>
    <phoneticPr fontId="2" type="noConversion"/>
  </si>
  <si>
    <t>IPRI = ( ( ( (ADC / 2^12 x 3.3V) - 1.65) x KN) / 0.499666667) / (√2 x RSENS)</t>
    <phoneticPr fontId="2" type="noConversion"/>
  </si>
  <si>
    <t>4. 출력전압 센싱</t>
    <phoneticPr fontId="2" type="noConversion"/>
  </si>
  <si>
    <t xml:space="preserve"> - 본 문서는 AMC1411와 LV25-P를 각각 적용한 방식에 대한 설계를 포함한다.</t>
    <phoneticPr fontId="2" type="noConversion"/>
  </si>
  <si>
    <t>4.1 AMC1411를 적용한 전압센싱</t>
    <phoneticPr fontId="2" type="noConversion"/>
  </si>
  <si>
    <t>1) 분압저항설계</t>
    <phoneticPr fontId="2" type="noConversion"/>
  </si>
  <si>
    <t>절연증폭기 입력범위</t>
    <phoneticPr fontId="2" type="noConversion"/>
  </si>
  <si>
    <t>입력전압 정격</t>
    <phoneticPr fontId="2" type="noConversion"/>
  </si>
  <si>
    <r>
      <t>V</t>
    </r>
    <r>
      <rPr>
        <sz val="11"/>
        <color theme="1"/>
        <rFont val="맑은 고딕"/>
        <family val="3"/>
        <charset val="129"/>
        <scheme val="minor"/>
      </rPr>
      <t>IN</t>
    </r>
    <r>
      <rPr>
        <sz val="9"/>
        <color theme="1"/>
        <rFont val="맑은 고딕"/>
        <family val="3"/>
        <charset val="129"/>
        <scheme val="minor"/>
      </rPr>
      <t>RANGE</t>
    </r>
    <phoneticPr fontId="2" type="noConversion"/>
  </si>
  <si>
    <r>
      <t>V</t>
    </r>
    <r>
      <rPr>
        <sz val="11"/>
        <color theme="1"/>
        <rFont val="맑은 고딕"/>
        <family val="3"/>
        <charset val="129"/>
        <scheme val="minor"/>
      </rPr>
      <t xml:space="preserve">IN </t>
    </r>
    <phoneticPr fontId="2" type="noConversion"/>
  </si>
  <si>
    <t>RT</t>
    <phoneticPr fontId="2" type="noConversion"/>
  </si>
  <si>
    <t>전체 분압 저항</t>
    <phoneticPr fontId="2" type="noConversion"/>
  </si>
  <si>
    <t>분압 저항 1</t>
    <phoneticPr fontId="2" type="noConversion"/>
  </si>
  <si>
    <t>분압 저항 2</t>
    <phoneticPr fontId="2" type="noConversion"/>
  </si>
  <si>
    <t>분압개수</t>
    <phoneticPr fontId="2" type="noConversion"/>
  </si>
  <si>
    <t>N</t>
    <phoneticPr fontId="2" type="noConversion"/>
  </si>
  <si>
    <t>센싱 전류</t>
    <phoneticPr fontId="2" type="noConversion"/>
  </si>
  <si>
    <t>IC</t>
    <phoneticPr fontId="2" type="noConversion"/>
  </si>
  <si>
    <t>WR1</t>
    <phoneticPr fontId="2" type="noConversion"/>
  </si>
  <si>
    <t>WR2</t>
    <phoneticPr fontId="2" type="noConversion"/>
  </si>
  <si>
    <t>R1 저항용량</t>
    <phoneticPr fontId="2" type="noConversion"/>
  </si>
  <si>
    <t>R2 저항용량</t>
    <phoneticPr fontId="2" type="noConversion"/>
  </si>
  <si>
    <t>GAMP</t>
    <phoneticPr fontId="2" type="noConversion"/>
  </si>
  <si>
    <t>SMD2012</t>
    <phoneticPr fontId="2" type="noConversion"/>
  </si>
  <si>
    <t>방법 #1</t>
    <phoneticPr fontId="2" type="noConversion"/>
  </si>
  <si>
    <t>방법 #2</t>
    <phoneticPr fontId="2" type="noConversion"/>
  </si>
  <si>
    <t>4.7㏀ 적용</t>
    <phoneticPr fontId="2" type="noConversion"/>
  </si>
  <si>
    <t>미만</t>
    <phoneticPr fontId="2" type="noConversion"/>
  </si>
  <si>
    <t>2) 차동증폭회로 설계</t>
    <phoneticPr fontId="2" type="noConversion"/>
  </si>
  <si>
    <t>저항#1</t>
    <phoneticPr fontId="2" type="noConversion"/>
  </si>
  <si>
    <t>저항#2</t>
  </si>
  <si>
    <t>수번</t>
    <phoneticPr fontId="2" type="noConversion"/>
  </si>
  <si>
    <t>입력전압(최대)</t>
    <phoneticPr fontId="2" type="noConversion"/>
  </si>
  <si>
    <t>VIN_MAX</t>
    <phoneticPr fontId="2" type="noConversion"/>
  </si>
  <si>
    <t>VOUT_MAX</t>
    <phoneticPr fontId="2" type="noConversion"/>
  </si>
  <si>
    <t>출력전압(최대)</t>
    <phoneticPr fontId="2" type="noConversion"/>
  </si>
  <si>
    <t>㏀근사값</t>
    <phoneticPr fontId="2" type="noConversion"/>
  </si>
  <si>
    <t>센싱입력전압</t>
    <phoneticPr fontId="2" type="noConversion"/>
  </si>
  <si>
    <t>차동출력전압</t>
    <phoneticPr fontId="2" type="noConversion"/>
  </si>
  <si>
    <t>VIN_SENS</t>
    <phoneticPr fontId="2" type="noConversion"/>
  </si>
  <si>
    <t xml:space="preserve"> = G x VIN_SENS</t>
    <phoneticPr fontId="2" type="noConversion"/>
  </si>
  <si>
    <t>정격의 10% 이상</t>
    <phoneticPr fontId="2" type="noConversion"/>
  </si>
  <si>
    <t>최대입력범위 설정</t>
    <phoneticPr fontId="2" type="noConversion"/>
  </si>
  <si>
    <t>IC를 1mA 이하 설정</t>
    <phoneticPr fontId="2" type="noConversion"/>
  </si>
  <si>
    <t>분할 개수</t>
    <phoneticPr fontId="2" type="noConversion"/>
  </si>
  <si>
    <t xml:space="preserve"> = VOUT_MAX / VIN_MAX</t>
    <phoneticPr fontId="2" type="noConversion"/>
  </si>
  <si>
    <t>3) 프로그램밍 소스 계산 수식</t>
    <phoneticPr fontId="2" type="noConversion"/>
  </si>
  <si>
    <t>VOUT_MAX = GAMP x VIN_MAX</t>
    <phoneticPr fontId="2" type="noConversion"/>
  </si>
  <si>
    <t># AMC 전달함수</t>
    <phoneticPr fontId="2" type="noConversion"/>
  </si>
  <si>
    <r>
      <t>VIN</t>
    </r>
    <r>
      <rPr>
        <sz val="9"/>
        <color theme="1"/>
        <rFont val="맑은 고딕"/>
        <family val="3"/>
        <charset val="129"/>
        <scheme val="minor"/>
      </rPr>
      <t>MAX</t>
    </r>
    <phoneticPr fontId="2" type="noConversion"/>
  </si>
  <si>
    <t># ADC 전달함수</t>
    <phoneticPr fontId="2" type="noConversion"/>
  </si>
  <si>
    <t># 코드수식</t>
    <phoneticPr fontId="2" type="noConversion"/>
  </si>
  <si>
    <t>VOUT = (R2 x VINMAX) / ( (N x R1) + R2)</t>
    <phoneticPr fontId="2" type="noConversion"/>
  </si>
  <si>
    <t>VINMAX = (VOUT x ( (N x R1) + R2)) / R2</t>
    <phoneticPr fontId="2" type="noConversion"/>
  </si>
  <si>
    <t>VIN_MAX =  VOUT_MAX / GAMP</t>
    <phoneticPr fontId="2" type="noConversion"/>
  </si>
  <si>
    <t>VINMAX = ( (VOUT_MAX / GAMP) x ( (N x R1) + R2) ) / R2</t>
    <phoneticPr fontId="2" type="noConversion"/>
  </si>
  <si>
    <t xml:space="preserve"> = ( (VOUT_MAX / GAMP) x ( (N x R1) + R2) ) / R2</t>
    <phoneticPr fontId="2" type="noConversion"/>
  </si>
  <si>
    <t xml:space="preserve"> = ( ( ( ADC / 2^12 x 3.3V) / GAMP ) x ( (N x R1) + R2) ) / R2</t>
    <phoneticPr fontId="2" type="noConversion"/>
  </si>
  <si>
    <t>4.2 LV25-P를 적용한 전압센싱</t>
    <phoneticPr fontId="2" type="noConversion"/>
  </si>
  <si>
    <t>출력전압센싱  850Vdc</t>
    <phoneticPr fontId="2" type="noConversion"/>
  </si>
  <si>
    <t>187F/SMD3216 병렬 (1W)</t>
    <phoneticPr fontId="2" type="noConversion"/>
  </si>
  <si>
    <t xml:space="preserve"> = IIN_rms</t>
    <phoneticPr fontId="2" type="noConversion"/>
  </si>
  <si>
    <t>VIN_PEAK =VIN_rms</t>
    <phoneticPr fontId="2" type="noConversion"/>
  </si>
  <si>
    <t>턴비</t>
    <phoneticPr fontId="2" type="noConversion"/>
  </si>
  <si>
    <t>T</t>
    <phoneticPr fontId="2" type="noConversion"/>
  </si>
  <si>
    <t>VIN_rms = (VIN_SEN x  N x RPRI) / (T x RSEC)</t>
    <phoneticPr fontId="2" type="noConversion"/>
  </si>
  <si>
    <t xml:space="preserve">ISEC_PEAK = T x IPRI_PEAK </t>
    <phoneticPr fontId="2" type="noConversion"/>
  </si>
  <si>
    <t>VIN_SEN = T x IPRI_PEAK x RSEC</t>
    <phoneticPr fontId="2" type="noConversion"/>
  </si>
  <si>
    <t xml:space="preserve"> = T x (VIN_PEAK / (N x RPRI)) x RSEC</t>
    <phoneticPr fontId="2" type="noConversion"/>
  </si>
  <si>
    <t xml:space="preserve"> = T x (VIN_rms / (N x RPRI)) x RSEC</t>
    <phoneticPr fontId="2" type="noConversion"/>
  </si>
  <si>
    <t># LV25-P 전달함수</t>
    <phoneticPr fontId="2" type="noConversion"/>
  </si>
  <si>
    <t xml:space="preserve"> = ( (ADC / 2^12 x 3.3V) x N x RPRI) / (T x RSEC)</t>
    <phoneticPr fontId="2" type="noConversion"/>
  </si>
  <si>
    <t xml:space="preserve">    =</t>
    <phoneticPr fontId="2" type="noConversion"/>
  </si>
  <si>
    <t>Vdc</t>
    <phoneticPr fontId="2" type="noConversion"/>
  </si>
  <si>
    <t>5. 출력전류 센싱</t>
    <phoneticPr fontId="2" type="noConversion"/>
  </si>
  <si>
    <t>5.1 LTS15-NP를 적용한 출력전류 센싱</t>
    <phoneticPr fontId="2" type="noConversion"/>
  </si>
  <si>
    <r>
      <t xml:space="preserve">출력전류센싱 8A (12kW) </t>
    </r>
    <r>
      <rPr>
        <sz val="11"/>
        <color rgb="FFFF0000"/>
        <rFont val="맑은 고딕"/>
        <family val="3"/>
        <charset val="129"/>
        <scheme val="minor"/>
      </rPr>
      <t>1차측 턴수는 2로 설정함</t>
    </r>
    <phoneticPr fontId="2" type="noConversion"/>
  </si>
  <si>
    <t>±24</t>
    <phoneticPr fontId="2" type="noConversion"/>
  </si>
  <si>
    <t>0.625V/7.5</t>
    <phoneticPr fontId="2" type="noConversion"/>
  </si>
  <si>
    <t>1) CT 설계</t>
    <phoneticPr fontId="2" type="noConversion"/>
  </si>
  <si>
    <t>㏀고정값</t>
    <phoneticPr fontId="2" type="noConversion"/>
  </si>
  <si>
    <t>㏀ 고정값</t>
    <phoneticPr fontId="2" type="noConversion"/>
  </si>
  <si>
    <t>시뮬레이션값 R1=1.15k, R2=16.2k, RG=38.3k, RF=59k</t>
    <phoneticPr fontId="2" type="noConversion"/>
  </si>
  <si>
    <t>검증</t>
    <phoneticPr fontId="2" type="noConversion"/>
  </si>
  <si>
    <t xml:space="preserve">VIN이 </t>
    <phoneticPr fontId="2" type="noConversion"/>
  </si>
  <si>
    <t>일때</t>
    <phoneticPr fontId="2" type="noConversion"/>
  </si>
  <si>
    <t>VOUT은</t>
    <phoneticPr fontId="2" type="noConversion"/>
  </si>
  <si>
    <t>OK</t>
    <phoneticPr fontId="2" type="noConversion"/>
  </si>
  <si>
    <t>3) Active Low Pass Filter</t>
    <phoneticPr fontId="2" type="noConversion"/>
  </si>
  <si>
    <t>4) Passive Low Pass Filter</t>
    <phoneticPr fontId="2" type="noConversion"/>
  </si>
  <si>
    <t>5) 프로그램밍 소스 계산 수식</t>
    <phoneticPr fontId="2" type="noConversion"/>
  </si>
  <si>
    <t>VOUT1 = 2.5 + (IPEAK x G x 10^-3) = 2.5 + ( IPN x G x 10^-3)</t>
    <phoneticPr fontId="2" type="noConversion"/>
  </si>
  <si>
    <t>IPN = (VOUT1 - 2.5) / (G x 10^-3)</t>
    <phoneticPr fontId="2" type="noConversion"/>
  </si>
  <si>
    <t>VOUT2 = m x VIN - b = 2.498459 x VIN1 - 4.617155</t>
    <phoneticPr fontId="2" type="noConversion"/>
  </si>
  <si>
    <t>VIN1 = (VOUT2 +  4.617155) / 2.498459</t>
    <phoneticPr fontId="2" type="noConversion"/>
  </si>
  <si>
    <t>OK (IPN과 같은 값이여야한다)</t>
    <phoneticPr fontId="2" type="noConversion"/>
  </si>
  <si>
    <t>OK (VOUT_P과 같은 값이여야한다)</t>
    <phoneticPr fontId="2" type="noConversion"/>
  </si>
  <si>
    <t>I_RMS (PN) = (VOUT1 - 2.5) / (G x 10^-3)</t>
    <phoneticPr fontId="2" type="noConversion"/>
  </si>
  <si>
    <t xml:space="preserve"> = ( ( (VOUT2 + 4.617155) / 2.498459) - 2.5) / (G x 10^-3)</t>
    <phoneticPr fontId="2" type="noConversion"/>
  </si>
  <si>
    <t xml:space="preserve"> = ( ( ( (ADC / 2^12 x 3.3V) + 4.617155) / 2.498459) - 2.5) / (G x 10^-3)</t>
    <phoneticPr fontId="2" type="noConversion"/>
  </si>
  <si>
    <r>
      <t>A</t>
    </r>
    <r>
      <rPr>
        <sz val="11"/>
        <color rgb="FFFF0000"/>
        <rFont val="맑은 고딕"/>
        <family val="3"/>
        <charset val="129"/>
        <scheme val="minor"/>
      </rPr>
      <t xml:space="preserve"> OK</t>
    </r>
    <phoneticPr fontId="2" type="noConversion"/>
  </si>
  <si>
    <t>5.2 LA25-P를 적용한 출력전류 센싱</t>
    <phoneticPr fontId="2" type="noConversion"/>
  </si>
  <si>
    <t>입력전류센싱 8A (12kW)</t>
    <phoneticPr fontId="2" type="noConversion"/>
  </si>
  <si>
    <t xml:space="preserve"> = IPRI</t>
    <phoneticPr fontId="2" type="noConversion"/>
  </si>
  <si>
    <r>
      <t>806</t>
    </r>
    <r>
      <rPr>
        <sz val="11"/>
        <color theme="1"/>
        <rFont val="Calibri"/>
        <family val="2"/>
        <charset val="161"/>
      </rPr>
      <t>Ω</t>
    </r>
    <r>
      <rPr>
        <sz val="11"/>
        <color theme="1"/>
        <rFont val="맑은 고딕"/>
        <family val="2"/>
        <charset val="129"/>
        <scheme val="minor"/>
      </rPr>
      <t xml:space="preserve"> 3216 병렬 2개</t>
    </r>
    <phoneticPr fontId="2" type="noConversion"/>
  </si>
  <si>
    <t>VSENS = RSENS x ISEC_PEAK = RSENS x IPRI_PEAK = RSENS x IPRI</t>
    <phoneticPr fontId="2" type="noConversion"/>
  </si>
  <si>
    <t>2) 증폭기 설계 ( VOUT = m x VIN - b)</t>
    <phoneticPr fontId="2" type="noConversion"/>
  </si>
  <si>
    <t>2) 증폭기 설계 (VOUT = m x VIN + b)</t>
    <phoneticPr fontId="2" type="noConversion"/>
  </si>
  <si>
    <t>VOUT = 0.510338 x VIN +1.651093</t>
    <phoneticPr fontId="2" type="noConversion"/>
  </si>
  <si>
    <t>VIN = (VOUT-1.651093) / 0.510338</t>
    <phoneticPr fontId="2" type="noConversion"/>
  </si>
  <si>
    <t>OK (VSENS과 같은 값이여야한다)</t>
    <phoneticPr fontId="2" type="noConversion"/>
  </si>
  <si>
    <t>VIN = ( (ADC / 2^12 x 3.3V) - 1.651093) / 0.510338</t>
    <phoneticPr fontId="2" type="noConversion"/>
  </si>
  <si>
    <t xml:space="preserve"> ISEC_PEAK = IPRI_PEAK / Kn</t>
    <phoneticPr fontId="2" type="noConversion"/>
  </si>
  <si>
    <t>VSENS = RSENS x ISEC_PEAK = RSENS x IPRI_PEAK / Kn = RSENS x IPRI  / Kn</t>
    <phoneticPr fontId="2" type="noConversion"/>
  </si>
  <si>
    <t>IPRI = (VSENS x Kn) / RSENS</t>
    <phoneticPr fontId="2" type="noConversion"/>
  </si>
  <si>
    <t>IPRI = ( ( ( (ADC / 2^12 x 3.3V) - 1.651093) /  0.510338) x Kn / RSENS</t>
    <phoneticPr fontId="2" type="noConversion"/>
  </si>
  <si>
    <r>
      <t>232</t>
    </r>
    <r>
      <rPr>
        <sz val="11"/>
        <color theme="1"/>
        <rFont val="Calibri"/>
        <family val="2"/>
        <charset val="161"/>
      </rPr>
      <t>Ω</t>
    </r>
    <r>
      <rPr>
        <sz val="11"/>
        <color theme="1"/>
        <rFont val="맑은 고딕"/>
        <family val="2"/>
        <charset val="129"/>
        <scheme val="minor"/>
      </rPr>
      <t xml:space="preserve"> 3216 병렬</t>
    </r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</si>
</sst>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177" formatCode="0_ "/>
    <numFmt numFmtId="178" formatCode="0.00_ "/>
    <numFmt numFmtId="179" formatCode="0.000000000_ "/>
    <numFmt numFmtId="180" formatCode="0.0_ "/>
    <numFmt numFmtId="181" formatCode="0.000_ "/>
    <numFmt numFmtId="183" formatCode="#,##0.00_ "/>
    <numFmt numFmtId="185" formatCode="0.00000000_ "/>
  </numFmts>
  <fonts count="16" x14ac:knownFonts="1">
    <font>
      <sz val="11"/>
      <color theme="1"/>
      <name val="맑은 고딕"/>
      <family val="2"/>
      <charset val="129"/>
      <scheme val="minor"/>
    </font>
    <font>
      <sz val="11"/>
      <color rgb="FFFF0000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</font>
    <font>
      <sz val="11"/>
      <color theme="1"/>
      <name val="Calibri"/>
      <family val="3"/>
      <charset val="161"/>
    </font>
    <font>
      <sz val="11"/>
      <color theme="1"/>
      <name val="Calibri"/>
      <family val="2"/>
      <charset val="161"/>
    </font>
    <font>
      <b/>
      <sz val="12"/>
      <color theme="1"/>
      <name val="맑은 고딕"/>
      <family val="3"/>
      <charset val="129"/>
      <scheme val="minor"/>
    </font>
    <font>
      <sz val="12"/>
      <color theme="1"/>
      <name val="맑은 고딕"/>
      <family val="3"/>
      <charset val="129"/>
      <scheme val="minor"/>
    </font>
    <font>
      <b/>
      <sz val="11"/>
      <color rgb="FF0000FF"/>
      <name val="맑은 고딕"/>
      <family val="3"/>
      <charset val="129"/>
      <scheme val="minor"/>
    </font>
    <font>
      <sz val="11"/>
      <color rgb="FF0000FF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rgb="FFFF0000"/>
      <name val="맑은 고딕"/>
      <family val="3"/>
      <charset val="129"/>
      <scheme val="minor"/>
    </font>
    <font>
      <sz val="9.35"/>
      <color theme="1"/>
      <name val="맑은 고딕"/>
      <family val="3"/>
      <charset val="129"/>
    </font>
    <font>
      <sz val="11"/>
      <color rgb="FFFF0000"/>
      <name val="맑은 고딕"/>
      <family val="3"/>
      <charset val="129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0.79998168889431442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226">
    <xf numFmtId="0" fontId="0" fillId="0" borderId="0" xfId="0">
      <alignment vertical="center"/>
    </xf>
    <xf numFmtId="49" fontId="0" fillId="0" borderId="0" xfId="0" applyNumberFormat="1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3" fillId="0" borderId="0" xfId="0" applyFont="1">
      <alignment vertical="center"/>
    </xf>
    <xf numFmtId="177" fontId="0" fillId="0" borderId="0" xfId="0" applyNumberForma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left" vertical="center"/>
    </xf>
    <xf numFmtId="177" fontId="0" fillId="0" borderId="1" xfId="0" applyNumberFormat="1" applyBorder="1">
      <alignment vertical="center"/>
    </xf>
    <xf numFmtId="0" fontId="0" fillId="0" borderId="1" xfId="0" applyBorder="1" applyAlignment="1">
      <alignment horizontal="left" vertical="center"/>
    </xf>
    <xf numFmtId="0" fontId="4" fillId="0" borderId="1" xfId="0" applyFont="1" applyBorder="1">
      <alignment vertical="center"/>
    </xf>
    <xf numFmtId="0" fontId="0" fillId="0" borderId="5" xfId="0" applyFill="1" applyBorder="1">
      <alignment vertical="center"/>
    </xf>
    <xf numFmtId="0" fontId="0" fillId="0" borderId="1" xfId="0" applyFill="1" applyBorder="1">
      <alignment vertical="center"/>
    </xf>
    <xf numFmtId="0" fontId="0" fillId="0" borderId="1" xfId="0" applyFill="1" applyBorder="1" applyAlignment="1">
      <alignment horizontal="center" vertical="center"/>
    </xf>
    <xf numFmtId="0" fontId="0" fillId="0" borderId="6" xfId="0" applyFill="1" applyBorder="1" applyAlignment="1">
      <alignment horizontal="left" vertical="center"/>
    </xf>
    <xf numFmtId="0" fontId="0" fillId="0" borderId="7" xfId="0" applyFill="1" applyBorder="1" applyAlignment="1">
      <alignment horizontal="left" vertical="center"/>
    </xf>
    <xf numFmtId="0" fontId="1" fillId="0" borderId="0" xfId="0" applyFont="1" applyFill="1" applyBorder="1" applyAlignment="1">
      <alignment horizontal="left" vertical="center"/>
    </xf>
    <xf numFmtId="0" fontId="0" fillId="0" borderId="0" xfId="0" applyFill="1" applyBorder="1">
      <alignment vertical="center"/>
    </xf>
    <xf numFmtId="0" fontId="1" fillId="0" borderId="0" xfId="0" applyFont="1" applyFill="1" applyBorder="1">
      <alignment vertical="center"/>
    </xf>
    <xf numFmtId="0" fontId="0" fillId="2" borderId="1" xfId="0" applyFill="1" applyBorder="1">
      <alignment vertical="center"/>
    </xf>
    <xf numFmtId="0" fontId="0" fillId="2" borderId="0" xfId="0" applyFill="1" applyAlignment="1">
      <alignment horizontal="center" vertical="center"/>
    </xf>
    <xf numFmtId="0" fontId="5" fillId="0" borderId="1" xfId="0" applyFont="1" applyBorder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8" xfId="0" applyFont="1" applyBorder="1">
      <alignment vertical="center"/>
    </xf>
    <xf numFmtId="0" fontId="0" fillId="0" borderId="9" xfId="0" applyBorder="1">
      <alignment vertical="center"/>
    </xf>
    <xf numFmtId="0" fontId="0" fillId="0" borderId="10" xfId="0" applyBorder="1">
      <alignment vertical="center"/>
    </xf>
    <xf numFmtId="0" fontId="0" fillId="0" borderId="11" xfId="0" applyBorder="1">
      <alignment vertical="center"/>
    </xf>
    <xf numFmtId="0" fontId="0" fillId="0" borderId="12" xfId="0" applyBorder="1">
      <alignment vertical="center"/>
    </xf>
    <xf numFmtId="0" fontId="1" fillId="0" borderId="11" xfId="0" applyFont="1" applyBorder="1">
      <alignment vertical="center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177" fontId="0" fillId="0" borderId="15" xfId="0" applyNumberFormat="1" applyBorder="1" applyAlignment="1">
      <alignment horizontal="center" vertical="center"/>
    </xf>
    <xf numFmtId="0" fontId="0" fillId="0" borderId="16" xfId="0" applyBorder="1">
      <alignment vertical="center"/>
    </xf>
    <xf numFmtId="0" fontId="0" fillId="3" borderId="1" xfId="0" applyFill="1" applyBorder="1">
      <alignment vertical="center"/>
    </xf>
    <xf numFmtId="0" fontId="4" fillId="3" borderId="1" xfId="0" applyFont="1" applyFill="1" applyBorder="1">
      <alignment vertical="center"/>
    </xf>
    <xf numFmtId="0" fontId="4" fillId="0" borderId="1" xfId="0" applyFont="1" applyFill="1" applyBorder="1">
      <alignment vertical="center"/>
    </xf>
    <xf numFmtId="0" fontId="1" fillId="0" borderId="1" xfId="0" applyFont="1" applyBorder="1">
      <alignment vertical="center"/>
    </xf>
    <xf numFmtId="0" fontId="10" fillId="0" borderId="1" xfId="0" applyFont="1" applyBorder="1">
      <alignment vertical="center"/>
    </xf>
    <xf numFmtId="0" fontId="0" fillId="4" borderId="0" xfId="0" applyFill="1" applyAlignment="1">
      <alignment horizontal="center" vertical="center"/>
    </xf>
    <xf numFmtId="0" fontId="0" fillId="4" borderId="0" xfId="0" applyFill="1" applyAlignment="1">
      <alignment horizontal="right" vertical="center"/>
    </xf>
    <xf numFmtId="0" fontId="0" fillId="4" borderId="0" xfId="0" applyFill="1">
      <alignment vertical="center"/>
    </xf>
    <xf numFmtId="0" fontId="0" fillId="4" borderId="0" xfId="0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178" fontId="0" fillId="4" borderId="0" xfId="0" applyNumberFormat="1" applyFill="1" applyAlignment="1">
      <alignment horizontal="center" vertical="center"/>
    </xf>
    <xf numFmtId="178" fontId="4" fillId="4" borderId="0" xfId="0" applyNumberFormat="1" applyFont="1" applyFill="1" applyAlignment="1">
      <alignment horizontal="center" vertical="center"/>
    </xf>
    <xf numFmtId="0" fontId="3" fillId="5" borderId="1" xfId="0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0" fillId="0" borderId="19" xfId="0" applyBorder="1">
      <alignment vertical="center"/>
    </xf>
    <xf numFmtId="0" fontId="0" fillId="0" borderId="0" xfId="0" applyBorder="1">
      <alignment vertical="center"/>
    </xf>
    <xf numFmtId="0" fontId="0" fillId="0" borderId="0" xfId="0" applyBorder="1" applyAlignment="1">
      <alignment horizontal="center" vertical="center"/>
    </xf>
    <xf numFmtId="0" fontId="0" fillId="0" borderId="6" xfId="0" applyBorder="1">
      <alignment vertical="center"/>
    </xf>
    <xf numFmtId="0" fontId="0" fillId="0" borderId="0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17" xfId="0" applyBorder="1">
      <alignment vertical="center"/>
    </xf>
    <xf numFmtId="0" fontId="0" fillId="0" borderId="18" xfId="0" applyBorder="1">
      <alignment vertical="center"/>
    </xf>
    <xf numFmtId="0" fontId="4" fillId="0" borderId="24" xfId="0" applyFont="1" applyBorder="1" applyAlignment="1">
      <alignment horizontal="center" vertical="center"/>
    </xf>
    <xf numFmtId="0" fontId="4" fillId="0" borderId="17" xfId="0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3" fillId="0" borderId="20" xfId="0" applyFont="1" applyBorder="1" applyAlignment="1">
      <alignment horizontal="left" vertical="center"/>
    </xf>
    <xf numFmtId="0" fontId="3" fillId="0" borderId="19" xfId="0" applyFont="1" applyBorder="1" applyAlignment="1">
      <alignment horizontal="left" vertical="center"/>
    </xf>
    <xf numFmtId="0" fontId="3" fillId="0" borderId="21" xfId="0" applyFont="1" applyBorder="1" applyAlignment="1">
      <alignment horizontal="left" vertical="center"/>
    </xf>
    <xf numFmtId="179" fontId="0" fillId="0" borderId="0" xfId="0" applyNumberFormat="1">
      <alignment vertical="center"/>
    </xf>
    <xf numFmtId="0" fontId="4" fillId="0" borderId="0" xfId="0" applyFont="1" applyFill="1" applyBorder="1">
      <alignment vertical="center"/>
    </xf>
    <xf numFmtId="0" fontId="0" fillId="0" borderId="0" xfId="0" applyBorder="1" applyAlignment="1">
      <alignment horizontal="left" vertical="center"/>
    </xf>
    <xf numFmtId="0" fontId="0" fillId="0" borderId="20" xfId="0" applyBorder="1">
      <alignment vertical="center"/>
    </xf>
    <xf numFmtId="0" fontId="0" fillId="0" borderId="21" xfId="0" applyBorder="1">
      <alignment vertical="center"/>
    </xf>
    <xf numFmtId="0" fontId="0" fillId="0" borderId="22" xfId="0" applyBorder="1">
      <alignment vertical="center"/>
    </xf>
    <xf numFmtId="0" fontId="0" fillId="0" borderId="23" xfId="0" applyBorder="1">
      <alignment vertical="center"/>
    </xf>
    <xf numFmtId="0" fontId="4" fillId="0" borderId="24" xfId="0" applyFont="1" applyFill="1" applyBorder="1">
      <alignment vertical="center"/>
    </xf>
    <xf numFmtId="0" fontId="0" fillId="0" borderId="20" xfId="0" applyBorder="1" applyAlignment="1">
      <alignment horizontal="center" vertical="center"/>
    </xf>
    <xf numFmtId="0" fontId="0" fillId="0" borderId="19" xfId="0" applyFill="1" applyBorder="1">
      <alignment vertical="center"/>
    </xf>
    <xf numFmtId="0" fontId="4" fillId="0" borderId="19" xfId="0" applyFont="1" applyFill="1" applyBorder="1">
      <alignment vertical="center"/>
    </xf>
    <xf numFmtId="0" fontId="1" fillId="0" borderId="21" xfId="0" applyFont="1" applyBorder="1">
      <alignment vertical="center"/>
    </xf>
    <xf numFmtId="0" fontId="0" fillId="0" borderId="24" xfId="0" applyBorder="1" applyAlignment="1">
      <alignment horizontal="left" vertical="center"/>
    </xf>
    <xf numFmtId="0" fontId="0" fillId="0" borderId="17" xfId="0" applyFill="1" applyBorder="1">
      <alignment vertical="center"/>
    </xf>
    <xf numFmtId="0" fontId="4" fillId="0" borderId="17" xfId="0" applyFont="1" applyFill="1" applyBorder="1">
      <alignment vertical="center"/>
    </xf>
    <xf numFmtId="0" fontId="1" fillId="0" borderId="18" xfId="0" applyFont="1" applyBorder="1">
      <alignment vertical="center"/>
    </xf>
    <xf numFmtId="0" fontId="0" fillId="0" borderId="11" xfId="0" applyFont="1" applyBorder="1">
      <alignment vertical="center"/>
    </xf>
    <xf numFmtId="0" fontId="12" fillId="0" borderId="11" xfId="0" applyFont="1" applyBorder="1">
      <alignment vertical="center"/>
    </xf>
    <xf numFmtId="0" fontId="10" fillId="0" borderId="11" xfId="0" applyFont="1" applyFill="1" applyBorder="1">
      <alignment vertical="center"/>
    </xf>
    <xf numFmtId="0" fontId="1" fillId="0" borderId="25" xfId="0" applyFont="1" applyBorder="1">
      <alignment vertical="center"/>
    </xf>
    <xf numFmtId="0" fontId="0" fillId="0" borderId="26" xfId="0" applyBorder="1">
      <alignment vertical="center"/>
    </xf>
    <xf numFmtId="0" fontId="12" fillId="0" borderId="1" xfId="0" applyFont="1" applyBorder="1">
      <alignment vertical="center"/>
    </xf>
    <xf numFmtId="0" fontId="12" fillId="0" borderId="1" xfId="0" applyFont="1" applyBorder="1" applyAlignment="1">
      <alignment horizontal="right" vertical="center"/>
    </xf>
    <xf numFmtId="0" fontId="12" fillId="0" borderId="1" xfId="0" applyFont="1" applyFill="1" applyBorder="1" applyAlignment="1">
      <alignment horizontal="right" vertical="center"/>
    </xf>
    <xf numFmtId="0" fontId="0" fillId="0" borderId="1" xfId="0" applyBorder="1" applyAlignment="1">
      <alignment horizontal="right" vertical="center"/>
    </xf>
    <xf numFmtId="178" fontId="0" fillId="0" borderId="0" xfId="0" applyNumberFormat="1">
      <alignment vertical="center"/>
    </xf>
    <xf numFmtId="180" fontId="0" fillId="0" borderId="1" xfId="0" applyNumberFormat="1" applyBorder="1">
      <alignment vertical="center"/>
    </xf>
    <xf numFmtId="0" fontId="0" fillId="0" borderId="1" xfId="0" applyFill="1" applyBorder="1" applyAlignment="1">
      <alignment horizontal="left" vertical="center"/>
    </xf>
    <xf numFmtId="178" fontId="0" fillId="0" borderId="1" xfId="0" applyNumberFormat="1" applyBorder="1">
      <alignment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180" fontId="0" fillId="0" borderId="1" xfId="0" applyNumberFormat="1" applyFill="1" applyBorder="1">
      <alignment vertical="center"/>
    </xf>
    <xf numFmtId="181" fontId="0" fillId="4" borderId="0" xfId="0" applyNumberFormat="1" applyFill="1">
      <alignment vertical="center"/>
    </xf>
    <xf numFmtId="178" fontId="0" fillId="4" borderId="0" xfId="0" applyNumberFormat="1" applyFill="1">
      <alignment vertical="center"/>
    </xf>
    <xf numFmtId="0" fontId="0" fillId="6" borderId="27" xfId="0" applyFill="1" applyBorder="1" applyAlignment="1">
      <alignment horizontal="center" vertical="center"/>
    </xf>
    <xf numFmtId="0" fontId="0" fillId="6" borderId="28" xfId="0" applyFill="1" applyBorder="1" applyAlignment="1">
      <alignment horizontal="center" vertical="center"/>
    </xf>
    <xf numFmtId="0" fontId="0" fillId="6" borderId="29" xfId="0" applyFill="1" applyBorder="1" applyAlignment="1">
      <alignment horizontal="center" vertical="center"/>
    </xf>
    <xf numFmtId="0" fontId="0" fillId="6" borderId="11" xfId="0" applyFill="1" applyBorder="1" applyAlignment="1">
      <alignment horizontal="center" vertical="center"/>
    </xf>
    <xf numFmtId="0" fontId="0" fillId="6" borderId="0" xfId="0" applyFill="1" applyAlignment="1">
      <alignment horizontal="center" vertical="center"/>
    </xf>
    <xf numFmtId="0" fontId="4" fillId="6" borderId="0" xfId="0" applyFont="1" applyFill="1" applyAlignment="1">
      <alignment horizontal="center" vertical="center"/>
    </xf>
    <xf numFmtId="0" fontId="0" fillId="6" borderId="12" xfId="0" applyFill="1" applyBorder="1" applyAlignment="1">
      <alignment horizontal="center" vertical="center"/>
    </xf>
    <xf numFmtId="0" fontId="0" fillId="6" borderId="25" xfId="0" applyFill="1" applyBorder="1" applyAlignment="1">
      <alignment horizontal="center" vertical="center"/>
    </xf>
    <xf numFmtId="0" fontId="0" fillId="6" borderId="26" xfId="0" applyFill="1" applyBorder="1" applyAlignment="1">
      <alignment horizontal="center" vertical="center"/>
    </xf>
    <xf numFmtId="0" fontId="4" fillId="6" borderId="26" xfId="0" applyFont="1" applyFill="1" applyBorder="1" applyAlignment="1">
      <alignment horizontal="center" vertical="center"/>
    </xf>
    <xf numFmtId="0" fontId="0" fillId="6" borderId="16" xfId="0" applyFill="1" applyBorder="1" applyAlignment="1">
      <alignment horizontal="center" vertical="center"/>
    </xf>
    <xf numFmtId="178" fontId="0" fillId="4" borderId="0" xfId="0" applyNumberFormat="1" applyFill="1" applyAlignment="1">
      <alignment horizontal="right" vertical="center"/>
    </xf>
    <xf numFmtId="0" fontId="0" fillId="6" borderId="27" xfId="0" applyFill="1" applyBorder="1" applyAlignment="1">
      <alignment horizontal="center" vertical="center"/>
    </xf>
    <xf numFmtId="0" fontId="0" fillId="6" borderId="28" xfId="0" applyFill="1" applyBorder="1" applyAlignment="1">
      <alignment horizontal="center" vertical="center"/>
    </xf>
    <xf numFmtId="0" fontId="4" fillId="6" borderId="28" xfId="0" applyFont="1" applyFill="1" applyBorder="1" applyAlignment="1">
      <alignment horizontal="center" vertical="center"/>
    </xf>
    <xf numFmtId="0" fontId="0" fillId="6" borderId="29" xfId="0" applyFill="1" applyBorder="1" applyAlignment="1">
      <alignment horizontal="center" vertical="center"/>
    </xf>
    <xf numFmtId="0" fontId="0" fillId="6" borderId="30" xfId="0" applyFill="1" applyBorder="1" applyAlignment="1">
      <alignment horizontal="center" vertical="center"/>
    </xf>
    <xf numFmtId="0" fontId="0" fillId="6" borderId="31" xfId="0" applyFill="1" applyBorder="1" applyAlignment="1">
      <alignment horizontal="center" vertical="center"/>
    </xf>
    <xf numFmtId="0" fontId="0" fillId="6" borderId="32" xfId="0" applyFill="1" applyBorder="1" applyAlignment="1">
      <alignment horizontal="center" vertical="center"/>
    </xf>
    <xf numFmtId="0" fontId="4" fillId="6" borderId="33" xfId="0" applyFont="1" applyFill="1" applyBorder="1" applyAlignment="1">
      <alignment horizontal="center" vertical="center"/>
    </xf>
    <xf numFmtId="0" fontId="4" fillId="6" borderId="34" xfId="0" applyFont="1" applyFill="1" applyBorder="1" applyAlignment="1">
      <alignment horizontal="center" vertical="center"/>
    </xf>
    <xf numFmtId="0" fontId="4" fillId="6" borderId="23" xfId="0" applyFont="1" applyFill="1" applyBorder="1" applyAlignment="1">
      <alignment horizontal="center" vertical="center"/>
    </xf>
    <xf numFmtId="0" fontId="0" fillId="6" borderId="23" xfId="0" applyFill="1" applyBorder="1" applyAlignment="1">
      <alignment horizontal="center" vertical="center"/>
    </xf>
    <xf numFmtId="0" fontId="0" fillId="6" borderId="33" xfId="0" applyFill="1" applyBorder="1" applyAlignment="1">
      <alignment horizontal="center" vertical="center"/>
    </xf>
    <xf numFmtId="0" fontId="0" fillId="6" borderId="35" xfId="0" applyFill="1" applyBorder="1" applyAlignment="1">
      <alignment horizontal="center" vertical="center"/>
    </xf>
    <xf numFmtId="0" fontId="0" fillId="6" borderId="5" xfId="0" applyFill="1" applyBorder="1" applyAlignment="1">
      <alignment horizontal="center" vertical="center"/>
    </xf>
    <xf numFmtId="0" fontId="0" fillId="6" borderId="36" xfId="0" applyFill="1" applyBorder="1" applyAlignment="1">
      <alignment horizontal="center" vertical="center"/>
    </xf>
    <xf numFmtId="178" fontId="0" fillId="0" borderId="0" xfId="0" applyNumberFormat="1" applyBorder="1">
      <alignment vertical="center"/>
    </xf>
    <xf numFmtId="0" fontId="0" fillId="0" borderId="24" xfId="0" applyFill="1" applyBorder="1" applyAlignment="1">
      <alignment horizontal="left" vertical="center"/>
    </xf>
    <xf numFmtId="0" fontId="0" fillId="0" borderId="18" xfId="0" applyFill="1" applyBorder="1">
      <alignment vertical="center"/>
    </xf>
    <xf numFmtId="0" fontId="0" fillId="0" borderId="22" xfId="0" applyFill="1" applyBorder="1" applyAlignment="1">
      <alignment horizontal="left" vertical="center"/>
    </xf>
    <xf numFmtId="0" fontId="13" fillId="0" borderId="0" xfId="0" applyFont="1" applyBorder="1">
      <alignment vertical="center"/>
    </xf>
    <xf numFmtId="0" fontId="12" fillId="0" borderId="37" xfId="0" applyFont="1" applyBorder="1">
      <alignment vertical="center"/>
    </xf>
    <xf numFmtId="0" fontId="0" fillId="0" borderId="38" xfId="0" applyBorder="1">
      <alignment vertical="center"/>
    </xf>
    <xf numFmtId="0" fontId="0" fillId="0" borderId="39" xfId="0" applyFill="1" applyBorder="1" applyAlignment="1">
      <alignment horizontal="left" vertical="center"/>
    </xf>
    <xf numFmtId="0" fontId="0" fillId="0" borderId="40" xfId="0" applyBorder="1">
      <alignment vertical="center"/>
    </xf>
    <xf numFmtId="0" fontId="0" fillId="0" borderId="37" xfId="0" applyFill="1" applyBorder="1" applyAlignment="1">
      <alignment horizontal="left" vertical="center"/>
    </xf>
    <xf numFmtId="0" fontId="0" fillId="0" borderId="11" xfId="0" applyFill="1" applyBorder="1" applyAlignment="1">
      <alignment horizontal="left" vertical="center"/>
    </xf>
    <xf numFmtId="0" fontId="0" fillId="0" borderId="37" xfId="0" applyBorder="1">
      <alignment vertical="center"/>
    </xf>
    <xf numFmtId="0" fontId="0" fillId="0" borderId="39" xfId="0" applyBorder="1">
      <alignment vertical="center"/>
    </xf>
    <xf numFmtId="0" fontId="13" fillId="0" borderId="11" xfId="0" applyFont="1" applyBorder="1">
      <alignment vertical="center"/>
    </xf>
    <xf numFmtId="0" fontId="0" fillId="0" borderId="6" xfId="0" applyFill="1" applyBorder="1">
      <alignment vertical="center"/>
    </xf>
    <xf numFmtId="0" fontId="0" fillId="0" borderId="6" xfId="0" applyBorder="1" applyAlignment="1">
      <alignment horizontal="right" vertical="center"/>
    </xf>
    <xf numFmtId="0" fontId="0" fillId="0" borderId="23" xfId="0" applyFill="1" applyBorder="1">
      <alignment vertical="center"/>
    </xf>
    <xf numFmtId="0" fontId="0" fillId="0" borderId="41" xfId="0" applyBorder="1">
      <alignment vertical="center"/>
    </xf>
    <xf numFmtId="0" fontId="0" fillId="2" borderId="42" xfId="0" applyFill="1" applyBorder="1">
      <alignment vertical="center"/>
    </xf>
    <xf numFmtId="0" fontId="0" fillId="0" borderId="42" xfId="0" applyFill="1" applyBorder="1">
      <alignment vertical="center"/>
    </xf>
    <xf numFmtId="180" fontId="0" fillId="0" borderId="42" xfId="0" applyNumberFormat="1" applyFill="1" applyBorder="1">
      <alignment vertical="center"/>
    </xf>
    <xf numFmtId="0" fontId="0" fillId="0" borderId="43" xfId="0" applyBorder="1">
      <alignment vertical="center"/>
    </xf>
    <xf numFmtId="0" fontId="0" fillId="0" borderId="13" xfId="0" applyBorder="1">
      <alignment vertical="center"/>
    </xf>
    <xf numFmtId="0" fontId="0" fillId="0" borderId="44" xfId="0" applyBorder="1">
      <alignment vertical="center"/>
    </xf>
    <xf numFmtId="0" fontId="0" fillId="0" borderId="14" xfId="0" applyBorder="1">
      <alignment vertical="center"/>
    </xf>
    <xf numFmtId="0" fontId="0" fillId="0" borderId="15" xfId="0" applyFill="1" applyBorder="1" applyAlignment="1">
      <alignment horizontal="left" vertical="center"/>
    </xf>
    <xf numFmtId="0" fontId="0" fillId="0" borderId="15" xfId="0" applyFill="1" applyBorder="1">
      <alignment vertical="center"/>
    </xf>
    <xf numFmtId="178" fontId="0" fillId="0" borderId="15" xfId="0" applyNumberFormat="1" applyBorder="1">
      <alignment vertical="center"/>
    </xf>
    <xf numFmtId="0" fontId="0" fillId="0" borderId="45" xfId="0" applyBorder="1">
      <alignment vertical="center"/>
    </xf>
    <xf numFmtId="0" fontId="0" fillId="0" borderId="5" xfId="0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5" fillId="0" borderId="1" xfId="0" applyFont="1" applyFill="1" applyBorder="1">
      <alignment vertical="center"/>
    </xf>
    <xf numFmtId="0" fontId="0" fillId="0" borderId="6" xfId="0" applyFill="1" applyBorder="1" applyAlignment="1">
      <alignment horizontal="center" vertical="center"/>
    </xf>
    <xf numFmtId="0" fontId="12" fillId="0" borderId="1" xfId="0" applyFont="1" applyFill="1" applyBorder="1">
      <alignment vertical="center"/>
    </xf>
    <xf numFmtId="0" fontId="0" fillId="0" borderId="1" xfId="0" applyFont="1" applyFill="1" applyBorder="1">
      <alignment vertical="center"/>
    </xf>
    <xf numFmtId="0" fontId="1" fillId="0" borderId="1" xfId="0" applyFont="1" applyBorder="1" applyAlignment="1">
      <alignment horizontal="left" vertical="center"/>
    </xf>
    <xf numFmtId="0" fontId="0" fillId="0" borderId="0" xfId="0" applyFont="1" applyFill="1" applyBorder="1">
      <alignment vertical="center"/>
    </xf>
    <xf numFmtId="0" fontId="11" fillId="0" borderId="1" xfId="0" applyFont="1" applyFill="1" applyBorder="1">
      <alignment vertical="center"/>
    </xf>
    <xf numFmtId="0" fontId="0" fillId="0" borderId="5" xfId="0" applyFont="1" applyFill="1" applyBorder="1">
      <alignment vertical="center"/>
    </xf>
    <xf numFmtId="0" fontId="12" fillId="0" borderId="39" xfId="0" applyFont="1" applyBorder="1">
      <alignment vertical="center"/>
    </xf>
    <xf numFmtId="0" fontId="12" fillId="0" borderId="25" xfId="0" applyFont="1" applyBorder="1" applyAlignment="1">
      <alignment horizontal="right" vertical="center"/>
    </xf>
    <xf numFmtId="0" fontId="0" fillId="0" borderId="5" xfId="0" applyFill="1" applyBorder="1" applyAlignment="1">
      <alignment horizontal="left" vertical="center"/>
    </xf>
    <xf numFmtId="0" fontId="0" fillId="0" borderId="4" xfId="0" applyBorder="1" applyAlignment="1">
      <alignment horizontal="center" vertical="center"/>
    </xf>
    <xf numFmtId="0" fontId="4" fillId="0" borderId="0" xfId="0" applyFont="1" applyBorder="1">
      <alignment vertical="center"/>
    </xf>
    <xf numFmtId="0" fontId="4" fillId="0" borderId="17" xfId="0" applyFont="1" applyBorder="1">
      <alignment vertical="center"/>
    </xf>
    <xf numFmtId="0" fontId="0" fillId="0" borderId="5" xfId="0" applyBorder="1">
      <alignment vertical="center"/>
    </xf>
    <xf numFmtId="0" fontId="0" fillId="0" borderId="7" xfId="0" applyBorder="1">
      <alignment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6" xfId="0" applyFill="1" applyBorder="1" applyAlignment="1">
      <alignment horizontal="center" vertical="center"/>
    </xf>
    <xf numFmtId="0" fontId="0" fillId="0" borderId="47" xfId="0" applyFill="1" applyBorder="1" applyAlignment="1">
      <alignment horizontal="center" vertical="center"/>
    </xf>
    <xf numFmtId="178" fontId="0" fillId="0" borderId="11" xfId="0" applyNumberFormat="1" applyBorder="1">
      <alignment vertical="center"/>
    </xf>
    <xf numFmtId="0" fontId="0" fillId="0" borderId="25" xfId="0" applyBorder="1">
      <alignment vertical="center"/>
    </xf>
    <xf numFmtId="0" fontId="4" fillId="0" borderId="26" xfId="0" applyFont="1" applyBorder="1">
      <alignment vertical="center"/>
    </xf>
    <xf numFmtId="0" fontId="0" fillId="2" borderId="0" xfId="0" applyFill="1" applyAlignment="1">
      <alignment horizontal="center" vertical="center"/>
    </xf>
    <xf numFmtId="0" fontId="0" fillId="0" borderId="7" xfId="0" applyFill="1" applyBorder="1" applyAlignment="1">
      <alignment horizontal="left" vertical="center"/>
    </xf>
    <xf numFmtId="0" fontId="0" fillId="0" borderId="0" xfId="0" applyBorder="1" applyAlignment="1">
      <alignment vertical="center"/>
    </xf>
    <xf numFmtId="0" fontId="15" fillId="0" borderId="0" xfId="0" applyFont="1" applyBorder="1">
      <alignment vertical="center"/>
    </xf>
    <xf numFmtId="0" fontId="0" fillId="0" borderId="23" xfId="0" applyBorder="1" applyAlignment="1">
      <alignment vertical="center"/>
    </xf>
    <xf numFmtId="0" fontId="0" fillId="0" borderId="17" xfId="0" applyBorder="1" applyAlignment="1">
      <alignment horizontal="left" vertical="center"/>
    </xf>
    <xf numFmtId="0" fontId="0" fillId="0" borderId="17" xfId="0" applyBorder="1" applyAlignment="1">
      <alignment vertical="center"/>
    </xf>
    <xf numFmtId="0" fontId="0" fillId="0" borderId="18" xfId="0" applyBorder="1" applyAlignment="1">
      <alignment vertical="center"/>
    </xf>
    <xf numFmtId="0" fontId="0" fillId="0" borderId="5" xfId="0" applyBorder="1" applyAlignment="1">
      <alignment horizontal="center" vertical="center"/>
    </xf>
    <xf numFmtId="0" fontId="0" fillId="0" borderId="22" xfId="0" applyBorder="1" applyAlignment="1">
      <alignment horizontal="right" vertical="center"/>
    </xf>
    <xf numFmtId="0" fontId="0" fillId="0" borderId="23" xfId="0" applyBorder="1" applyAlignment="1">
      <alignment horizontal="left" vertical="center"/>
    </xf>
    <xf numFmtId="183" fontId="13" fillId="0" borderId="22" xfId="0" applyNumberFormat="1" applyFont="1" applyBorder="1">
      <alignment vertical="center"/>
    </xf>
    <xf numFmtId="0" fontId="15" fillId="0" borderId="23" xfId="0" applyFont="1" applyBorder="1">
      <alignment vertical="center"/>
    </xf>
    <xf numFmtId="183" fontId="0" fillId="0" borderId="24" xfId="0" applyNumberFormat="1" applyBorder="1">
      <alignment vertical="center"/>
    </xf>
    <xf numFmtId="0" fontId="4" fillId="0" borderId="18" xfId="0" applyFont="1" applyBorder="1">
      <alignment vertical="center"/>
    </xf>
    <xf numFmtId="0" fontId="0" fillId="2" borderId="5" xfId="0" applyFill="1" applyBorder="1">
      <alignment vertical="center"/>
    </xf>
    <xf numFmtId="0" fontId="0" fillId="0" borderId="3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5" xfId="0" applyBorder="1" applyAlignment="1">
      <alignment horizontal="left" vertical="center"/>
    </xf>
    <xf numFmtId="0" fontId="0" fillId="0" borderId="31" xfId="0" applyFill="1" applyBorder="1">
      <alignment vertical="center"/>
    </xf>
    <xf numFmtId="0" fontId="0" fillId="0" borderId="11" xfId="0" applyFill="1" applyBorder="1">
      <alignment vertical="center"/>
    </xf>
    <xf numFmtId="0" fontId="0" fillId="0" borderId="11" xfId="0" applyBorder="1" applyAlignment="1">
      <alignment horizontal="left" vertical="center"/>
    </xf>
    <xf numFmtId="0" fontId="1" fillId="0" borderId="11" xfId="0" applyFont="1" applyFill="1" applyBorder="1" applyAlignment="1">
      <alignment horizontal="left" vertical="center"/>
    </xf>
    <xf numFmtId="0" fontId="1" fillId="0" borderId="11" xfId="0" applyFont="1" applyFill="1" applyBorder="1">
      <alignment vertical="center"/>
    </xf>
    <xf numFmtId="0" fontId="0" fillId="0" borderId="16" xfId="0" applyBorder="1" applyAlignment="1">
      <alignment horizontal="left" vertical="center"/>
    </xf>
    <xf numFmtId="181" fontId="0" fillId="0" borderId="1" xfId="0" applyNumberFormat="1" applyBorder="1">
      <alignment vertical="center"/>
    </xf>
    <xf numFmtId="181" fontId="0" fillId="0" borderId="15" xfId="0" applyNumberFormat="1" applyBorder="1">
      <alignment vertical="center"/>
    </xf>
    <xf numFmtId="181" fontId="0" fillId="4" borderId="0" xfId="0" applyNumberFormat="1" applyFill="1" applyAlignment="1">
      <alignment horizontal="right" vertical="center"/>
    </xf>
    <xf numFmtId="0" fontId="4" fillId="0" borderId="0" xfId="0" applyFont="1" applyFill="1" applyBorder="1" applyAlignment="1">
      <alignment horizontal="center" vertical="center"/>
    </xf>
    <xf numFmtId="181" fontId="0" fillId="0" borderId="1" xfId="0" applyNumberFormat="1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13" fillId="0" borderId="40" xfId="0" applyFont="1" applyBorder="1">
      <alignment vertical="center"/>
    </xf>
    <xf numFmtId="0" fontId="1" fillId="0" borderId="40" xfId="0" applyFont="1" applyBorder="1">
      <alignment vertical="center"/>
    </xf>
    <xf numFmtId="180" fontId="0" fillId="0" borderId="1" xfId="0" applyNumberFormat="1" applyBorder="1" applyAlignment="1">
      <alignment horizontal="left" vertical="center"/>
    </xf>
    <xf numFmtId="185" fontId="0" fillId="6" borderId="0" xfId="0" applyNumberFormat="1" applyFill="1" applyAlignment="1">
      <alignment horizontal="center" vertical="center"/>
    </xf>
    <xf numFmtId="185" fontId="0" fillId="6" borderId="26" xfId="0" applyNumberFormat="1" applyFill="1" applyBorder="1" applyAlignment="1">
      <alignment horizontal="center" vertical="center"/>
    </xf>
    <xf numFmtId="178" fontId="0" fillId="0" borderId="17" xfId="0" applyNumberFormat="1" applyBorder="1">
      <alignment vertical="center"/>
    </xf>
    <xf numFmtId="0" fontId="13" fillId="0" borderId="16" xfId="0" applyFont="1" applyBorder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5" Type="http://schemas.openxmlformats.org/officeDocument/2006/relationships/image" Target="../media/image11.emf"/><Relationship Id="rId4" Type="http://schemas.openxmlformats.org/officeDocument/2006/relationships/image" Target="../media/image10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.emf"/><Relationship Id="rId2" Type="http://schemas.openxmlformats.org/officeDocument/2006/relationships/image" Target="../media/image13.emf"/><Relationship Id="rId1" Type="http://schemas.openxmlformats.org/officeDocument/2006/relationships/image" Target="../media/image12.emf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15.emf"/><Relationship Id="rId1" Type="http://schemas.openxmlformats.org/officeDocument/2006/relationships/image" Target="../media/image7.png"/><Relationship Id="rId6" Type="http://schemas.openxmlformats.org/officeDocument/2006/relationships/image" Target="../media/image17.emf"/><Relationship Id="rId5" Type="http://schemas.openxmlformats.org/officeDocument/2006/relationships/image" Target="../media/image3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66674</xdr:colOff>
      <xdr:row>4</xdr:row>
      <xdr:rowOff>47625</xdr:rowOff>
    </xdr:from>
    <xdr:to>
      <xdr:col>8</xdr:col>
      <xdr:colOff>414554</xdr:colOff>
      <xdr:row>23</xdr:row>
      <xdr:rowOff>47625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65F787AF-95E6-0D00-AC86-19EAD3584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4" y="466725"/>
          <a:ext cx="7786905" cy="398145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11</xdr:col>
      <xdr:colOff>133350</xdr:colOff>
      <xdr:row>4</xdr:row>
      <xdr:rowOff>95250</xdr:rowOff>
    </xdr:from>
    <xdr:to>
      <xdr:col>19</xdr:col>
      <xdr:colOff>116627</xdr:colOff>
      <xdr:row>22</xdr:row>
      <xdr:rowOff>212480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F44D804-052A-3C42-EE7B-16CEB5F004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58325" y="962025"/>
          <a:ext cx="8410575" cy="3886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414617</xdr:colOff>
      <xdr:row>49</xdr:row>
      <xdr:rowOff>33617</xdr:rowOff>
    </xdr:from>
    <xdr:to>
      <xdr:col>25</xdr:col>
      <xdr:colOff>241876</xdr:colOff>
      <xdr:row>51</xdr:row>
      <xdr:rowOff>139087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560B27A2-262D-41B9-A490-48BCD2FB0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313088" y="10499911"/>
          <a:ext cx="4612171" cy="531294"/>
        </a:xfrm>
        <a:prstGeom prst="rect">
          <a:avLst/>
        </a:prstGeom>
      </xdr:spPr>
    </xdr:pic>
    <xdr:clientData/>
  </xdr:twoCellAnchor>
  <xdr:twoCellAnchor editAs="oneCell">
    <xdr:from>
      <xdr:col>18</xdr:col>
      <xdr:colOff>471768</xdr:colOff>
      <xdr:row>52</xdr:row>
      <xdr:rowOff>111327</xdr:rowOff>
    </xdr:from>
    <xdr:to>
      <xdr:col>21</xdr:col>
      <xdr:colOff>597761</xdr:colOff>
      <xdr:row>57</xdr:row>
      <xdr:rowOff>55560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8E5D0C7F-6DEF-445E-A7D7-23C7BF117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370239" y="11216356"/>
          <a:ext cx="2176670" cy="1008792"/>
        </a:xfrm>
        <a:prstGeom prst="rect">
          <a:avLst/>
        </a:prstGeom>
      </xdr:spPr>
    </xdr:pic>
    <xdr:clientData/>
  </xdr:twoCellAnchor>
  <xdr:twoCellAnchor editAs="oneCell">
    <xdr:from>
      <xdr:col>22</xdr:col>
      <xdr:colOff>525459</xdr:colOff>
      <xdr:row>53</xdr:row>
      <xdr:rowOff>112992</xdr:rowOff>
    </xdr:from>
    <xdr:to>
      <xdr:col>24</xdr:col>
      <xdr:colOff>666604</xdr:colOff>
      <xdr:row>55</xdr:row>
      <xdr:rowOff>8012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E9F70834-EA9B-4465-9C6E-DFE84DC475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158165" y="11430933"/>
          <a:ext cx="1508263" cy="320844"/>
        </a:xfrm>
        <a:prstGeom prst="rect">
          <a:avLst/>
        </a:prstGeom>
      </xdr:spPr>
    </xdr:pic>
    <xdr:clientData/>
  </xdr:twoCellAnchor>
  <xdr:twoCellAnchor editAs="oneCell">
    <xdr:from>
      <xdr:col>18</xdr:col>
      <xdr:colOff>571036</xdr:colOff>
      <xdr:row>57</xdr:row>
      <xdr:rowOff>168089</xdr:rowOff>
    </xdr:from>
    <xdr:to>
      <xdr:col>23</xdr:col>
      <xdr:colOff>150718</xdr:colOff>
      <xdr:row>60</xdr:row>
      <xdr:rowOff>11715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3516FE0E-8E27-4843-BCAD-758036F9F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469507" y="12337677"/>
          <a:ext cx="2997476" cy="493567"/>
        </a:xfrm>
        <a:prstGeom prst="rect">
          <a:avLst/>
        </a:prstGeom>
      </xdr:spPr>
    </xdr:pic>
    <xdr:clientData/>
  </xdr:twoCellAnchor>
  <xdr:oneCellAnchor>
    <xdr:from>
      <xdr:col>18</xdr:col>
      <xdr:colOff>425824</xdr:colOff>
      <xdr:row>59</xdr:row>
      <xdr:rowOff>170038</xdr:rowOff>
    </xdr:from>
    <xdr:ext cx="1833563" cy="35105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EEFFB5BF-5A97-48C6-918A-285D8881D375}"/>
                </a:ext>
              </a:extLst>
            </xdr:cNvPr>
            <xdr:cNvSpPr txBox="1"/>
          </xdr:nvSpPr>
          <xdr:spPr>
            <a:xfrm>
              <a:off x="17324295" y="12776656"/>
              <a:ext cx="1833563" cy="3510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altLang="ko-KR" sz="12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</m:t>
                        </m:r>
                      </m:e>
                      <m:sub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</m:sub>
                    </m:sSub>
                    <m:r>
                      <a:rPr lang="en-US" altLang="ko-KR" sz="12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altLang="ko-KR" sz="12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altLang="ko-KR" sz="120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altLang="ko-KR" sz="12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altLang="ko-KR" sz="1200" b="0" i="1">
                                <a:latin typeface="Cambria Math" panose="02040503050406030204" pitchFamily="18" charset="0"/>
                              </a:rPr>
                              <m:t>𝑟𝑒𝑓</m:t>
                            </m:r>
                          </m:sub>
                        </m:sSub>
                        <m:r>
                          <a:rPr lang="en-US" altLang="ko-KR" sz="120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×</m:t>
                        </m:r>
                        <m:r>
                          <a:rPr lang="en-US" altLang="ko-KR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𝑚</m:t>
                        </m:r>
                        <m:r>
                          <a:rPr lang="en-US" altLang="ko-KR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×</m:t>
                        </m:r>
                        <m:sSub>
                          <m:sSubPr>
                            <m:ctrlPr>
                              <a:rPr lang="en-US" altLang="ko-KR" sz="12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altLang="ko-KR" sz="12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𝑅</m:t>
                            </m:r>
                          </m:e>
                          <m:sub>
                            <m:r>
                              <a:rPr lang="en-US" altLang="ko-KR" sz="12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r>
                          <a:rPr lang="en-US" altLang="ko-KR" sz="1200" b="0" i="1">
                            <a:latin typeface="Cambria Math" panose="02040503050406030204" pitchFamily="18" charset="0"/>
                          </a:rPr>
                          <m:t>𝑏</m:t>
                        </m:r>
                      </m:den>
                    </m:f>
                  </m:oMath>
                </m:oMathPara>
              </a14:m>
              <a:endParaRPr lang="ko-KR" altLang="en-US" sz="1200"/>
            </a:p>
          </xdr:txBody>
        </xdr:sp>
      </mc:Choice>
      <mc:Fallback>
        <xdr:sp macro="" textlink="">
          <xdr:nvSpPr>
            <xdr:cNvPr id="8" name="TextBox 7">
              <a:extLst>
                <a:ext uri="{FF2B5EF4-FFF2-40B4-BE49-F238E27FC236}">
                  <a16:creationId xmlns:a16="http://schemas.microsoft.com/office/drawing/2014/main" id="{EEFFB5BF-5A97-48C6-918A-285D8881D375}"/>
                </a:ext>
              </a:extLst>
            </xdr:cNvPr>
            <xdr:cNvSpPr txBox="1"/>
          </xdr:nvSpPr>
          <xdr:spPr>
            <a:xfrm>
              <a:off x="17324295" y="12776656"/>
              <a:ext cx="1833563" cy="3510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altLang="ko-KR" sz="12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𝑅_2=</a:t>
              </a:r>
              <a:r>
                <a:rPr lang="en-US" altLang="ko-KR" sz="1200" i="0">
                  <a:latin typeface="Cambria Math" panose="02040503050406030204" pitchFamily="18" charset="0"/>
                </a:rPr>
                <a:t>(</a:t>
              </a:r>
              <a:r>
                <a:rPr lang="en-US" altLang="ko-KR" sz="1200" b="0" i="0">
                  <a:latin typeface="Cambria Math" panose="02040503050406030204" pitchFamily="18" charset="0"/>
                </a:rPr>
                <a:t>𝑉_𝑟𝑒𝑓</a:t>
              </a:r>
              <a:r>
                <a:rPr lang="en-US" altLang="ko-KR" sz="1200" i="0">
                  <a:latin typeface="Cambria Math" panose="02040503050406030204" pitchFamily="18" charset="0"/>
                  <a:ea typeface="Cambria Math" panose="02040503050406030204" pitchFamily="18" charset="0"/>
                </a:rPr>
                <a:t>×</a:t>
              </a:r>
              <a:r>
                <a:rPr lang="en-US" altLang="ko-KR" sz="12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𝑚×𝑅_1)/</a:t>
              </a:r>
              <a:r>
                <a:rPr lang="en-US" altLang="ko-KR" sz="1200" b="0" i="0">
                  <a:latin typeface="Cambria Math" panose="02040503050406030204" pitchFamily="18" charset="0"/>
                </a:rPr>
                <a:t>𝑏</a:t>
              </a:r>
              <a:endParaRPr lang="ko-KR" altLang="en-US" sz="1200"/>
            </a:p>
          </xdr:txBody>
        </xdr:sp>
      </mc:Fallback>
    </mc:AlternateContent>
    <xdr:clientData/>
  </xdr:oneCellAnchor>
  <xdr:oneCellAnchor>
    <xdr:from>
      <xdr:col>19</xdr:col>
      <xdr:colOff>51504</xdr:colOff>
      <xdr:row>61</xdr:row>
      <xdr:rowOff>91237</xdr:rowOff>
    </xdr:from>
    <xdr:ext cx="1833563" cy="414985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8A0DDCF-1DD8-456A-853C-9C8070620632}"/>
                </a:ext>
              </a:extLst>
            </xdr:cNvPr>
            <xdr:cNvSpPr txBox="1"/>
          </xdr:nvSpPr>
          <xdr:spPr>
            <a:xfrm>
              <a:off x="17633533" y="13123678"/>
              <a:ext cx="1833563" cy="4149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altLang="ko-KR" sz="12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</m:t>
                        </m:r>
                      </m:e>
                      <m:sub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𝐹</m:t>
                        </m:r>
                      </m:sub>
                    </m:sSub>
                    <m:r>
                      <a:rPr lang="en-US" altLang="ko-KR" sz="12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sSub>
                      <m:sSubPr>
                        <m:ctrlP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</m:t>
                        </m:r>
                      </m:e>
                      <m:sub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𝐺</m:t>
                        </m:r>
                      </m:sub>
                    </m:sSub>
                    <m:d>
                      <m:dPr>
                        <m:ctrlP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dPr>
                      <m:e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𝑚</m:t>
                        </m:r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  <m:t>×</m:t>
                        </m:r>
                        <m:f>
                          <m:fPr>
                            <m:ctrlPr>
                              <a:rPr lang="en-US" altLang="ko-KR" sz="12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  <a:cs typeface="+mn-cs"/>
                              </a:rPr>
                            </m:ctrlPr>
                          </m:fPr>
                          <m:num>
                            <m:sSub>
                              <m:sSubPr>
                                <m:ctrlP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1</m:t>
                                </m:r>
                              </m:sub>
                            </m:sSub>
                            <m:r>
                              <a:rPr lang="en-US" altLang="ko-KR" sz="12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  <a:cs typeface="+mn-cs"/>
                              </a:rPr>
                              <m:t>+</m:t>
                            </m:r>
                            <m:sSub>
                              <m:sSubPr>
                                <m:ctrlP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2</m:t>
                                </m:r>
                              </m:sub>
                            </m:sSub>
                          </m:num>
                          <m:den>
                            <m:sSub>
                              <m:sSubPr>
                                <m:ctrlP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2</m:t>
                                </m:r>
                              </m:sub>
                            </m:sSub>
                          </m:den>
                        </m:f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  <m:t>−1</m:t>
                        </m:r>
                      </m:e>
                    </m:d>
                  </m:oMath>
                </m:oMathPara>
              </a14:m>
              <a:endParaRPr lang="ko-KR" altLang="en-US" sz="1200"/>
            </a:p>
          </xdr:txBody>
        </xdr:sp>
      </mc:Choice>
      <mc:Fallback>
        <xdr:sp macro="" textlink="">
          <xdr:nvSpPr>
            <xdr:cNvPr id="9" name="TextBox 8">
              <a:extLst>
                <a:ext uri="{FF2B5EF4-FFF2-40B4-BE49-F238E27FC236}">
                  <a16:creationId xmlns:a16="http://schemas.microsoft.com/office/drawing/2014/main" id="{28A0DDCF-1DD8-456A-853C-9C8070620632}"/>
                </a:ext>
              </a:extLst>
            </xdr:cNvPr>
            <xdr:cNvSpPr txBox="1"/>
          </xdr:nvSpPr>
          <xdr:spPr>
            <a:xfrm>
              <a:off x="17633533" y="13123678"/>
              <a:ext cx="1833563" cy="4149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altLang="ko-KR" sz="12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𝑅_𝐹=𝑅_𝐺 (𝑚</a:t>
              </a:r>
              <a:r>
                <a:rPr lang="en-US" altLang="ko-KR" sz="12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Cambria Math" panose="02040503050406030204" pitchFamily="18" charset="0"/>
                  <a:cs typeface="+mn-cs"/>
                </a:rPr>
                <a:t>×(𝑅_1+𝑅_2)/𝑅_2 −1)</a:t>
              </a:r>
              <a:endParaRPr lang="ko-KR" altLang="en-US" sz="1200"/>
            </a:p>
          </xdr:txBody>
        </xdr:sp>
      </mc:Fallback>
    </mc:AlternateContent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676251</xdr:colOff>
      <xdr:row>70</xdr:row>
      <xdr:rowOff>190500</xdr:rowOff>
    </xdr:from>
    <xdr:ext cx="6220558" cy="62363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7FFF46F9-D282-4E4B-8B5F-B6E3F02BEB42}"/>
                </a:ext>
              </a:extLst>
            </xdr:cNvPr>
            <xdr:cNvSpPr txBox="1"/>
          </xdr:nvSpPr>
          <xdr:spPr>
            <a:xfrm>
              <a:off x="2043369" y="14735735"/>
              <a:ext cx="6220558" cy="6236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sSub>
                      <m:sSubPr>
                        <m:ctrlPr>
                          <a:rPr lang="en-US" altLang="ko-KR" sz="16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𝑂𝑈𝑇</m:t>
                        </m:r>
                      </m:sub>
                    </m:sSub>
                    <m:r>
                      <a:rPr lang="en-US" altLang="ko-KR" sz="160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altLang="ko-KR" sz="16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𝐼𝑁</m:t>
                        </m:r>
                      </m:sub>
                    </m:sSub>
                    <m:sSup>
                      <m:sSupPr>
                        <m:ctrlPr>
                          <a:rPr lang="en-US" altLang="ko-KR" sz="16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altLang="ko-KR" sz="160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f>
                              <m:fPr>
                                <m:ctrlPr>
                                  <a:rPr lang="en-US" altLang="ko-KR" sz="160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altLang="ko-KR" sz="160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𝐹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+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𝐺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+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1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∥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2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altLang="ko-KR" sz="160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𝐺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+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1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∥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2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/>
                    </m:sSup>
                    <m:r>
                      <a:rPr lang="en-US" altLang="ko-KR" sz="1600" b="0" i="0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altLang="ko-KR" sz="16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𝑅𝐸𝐹</m:t>
                        </m:r>
                      </m:sub>
                    </m:sSub>
                    <m:d>
                      <m:dPr>
                        <m:ctrlPr>
                          <a:rPr lang="en-US" altLang="ko-KR" sz="16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f>
                          <m:fPr>
                            <m:ctrlP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sub>
                            </m:sSub>
                          </m:num>
                          <m:den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sub>
                            </m:sSub>
                            <m: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sub>
                            </m:sSub>
                          </m:den>
                        </m:f>
                      </m:e>
                    </m:d>
                    <m:d>
                      <m:dPr>
                        <m:ctrlPr>
                          <a:rPr lang="en-US" altLang="ko-KR" sz="16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f>
                          <m:fPr>
                            <m:ctrlP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𝐹</m:t>
                                </m:r>
                              </m:sub>
                            </m:sSub>
                          </m:num>
                          <m:den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𝐺</m:t>
                                </m:r>
                              </m:sub>
                            </m:sSub>
                            <m: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sub>
                            </m:sSub>
                            <m: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  <m:t>∥</m:t>
                            </m:r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sub>
                            </m:sSub>
                          </m:den>
                        </m:f>
                      </m:e>
                    </m:d>
                  </m:oMath>
                </m:oMathPara>
              </a14:m>
              <a:endParaRPr lang="ko-KR" altLang="en-US" sz="1600"/>
            </a:p>
          </xdr:txBody>
        </xdr:sp>
      </mc:Choice>
      <mc:Fallback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7FFF46F9-D282-4E4B-8B5F-B6E3F02BEB42}"/>
                </a:ext>
              </a:extLst>
            </xdr:cNvPr>
            <xdr:cNvSpPr txBox="1"/>
          </xdr:nvSpPr>
          <xdr:spPr>
            <a:xfrm>
              <a:off x="2043369" y="14735735"/>
              <a:ext cx="6220558" cy="6236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altLang="ko-KR" sz="1600" b="0" i="0">
                  <a:latin typeface="Cambria Math" panose="02040503050406030204" pitchFamily="18" charset="0"/>
                </a:rPr>
                <a:t>𝑉_𝑂𝑈𝑇</a:t>
              </a:r>
              <a:r>
                <a:rPr lang="en-US" altLang="ko-KR" sz="1600" i="0">
                  <a:latin typeface="Cambria Math" panose="02040503050406030204" pitchFamily="18" charset="0"/>
                </a:rPr>
                <a:t>=</a:t>
              </a:r>
              <a:r>
                <a:rPr lang="en-US" altLang="ko-KR" sz="1600" b="0" i="0">
                  <a:latin typeface="Cambria Math" panose="02040503050406030204" pitchFamily="18" charset="0"/>
                </a:rPr>
                <a:t>𝑉_𝐼𝑁 </a:t>
              </a:r>
              <a:r>
                <a:rPr lang="en-US" altLang="ko-KR" sz="1600" i="0">
                  <a:latin typeface="Cambria Math" panose="02040503050406030204" pitchFamily="18" charset="0"/>
                </a:rPr>
                <a:t>((</a:t>
              </a:r>
              <a:r>
                <a:rPr lang="en-US" altLang="ko-KR" sz="1600" b="0" i="0">
                  <a:latin typeface="Cambria Math" panose="02040503050406030204" pitchFamily="18" charset="0"/>
                </a:rPr>
                <a:t>𝑅_𝐹+𝑅_𝐺+𝑅_1∥𝑅_2)/(𝑅_𝐺+</a:t>
              </a:r>
              <a:r>
                <a:rPr lang="en-US" altLang="ko-KR" sz="16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𝑅_1∥𝑅_2 ))^ </a:t>
              </a:r>
              <a:r>
                <a:rPr lang="en-US" altLang="ko-KR" sz="1600" b="0" i="0">
                  <a:latin typeface="Cambria Math" panose="02040503050406030204" pitchFamily="18" charset="0"/>
                </a:rPr>
                <a:t>−𝑉_𝑅𝐸𝐹 (𝑅_2/(𝑅_1+𝑅_2 ))(𝑅_𝐹/(𝑅_𝐺+𝑅_1∥𝑅_2 ))</a:t>
              </a:r>
              <a:endParaRPr lang="ko-KR" altLang="en-US" sz="1600"/>
            </a:p>
          </xdr:txBody>
        </xdr:sp>
      </mc:Fallback>
    </mc:AlternateContent>
    <xdr:clientData/>
  </xdr:oneCellAnchor>
  <xdr:twoCellAnchor editAs="oneCell">
    <xdr:from>
      <xdr:col>0</xdr:col>
      <xdr:colOff>587110</xdr:colOff>
      <xdr:row>58</xdr:row>
      <xdr:rowOff>34423</xdr:rowOff>
    </xdr:from>
    <xdr:to>
      <xdr:col>4</xdr:col>
      <xdr:colOff>549176</xdr:colOff>
      <xdr:row>64</xdr:row>
      <xdr:rowOff>95407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D03ADBA-804D-4FEE-AA97-60C6410BE0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7110" y="12024717"/>
          <a:ext cx="4164272" cy="1338455"/>
        </a:xfrm>
        <a:prstGeom prst="rect">
          <a:avLst/>
        </a:prstGeom>
      </xdr:spPr>
    </xdr:pic>
    <xdr:clientData/>
  </xdr:twoCellAnchor>
  <xdr:twoCellAnchor editAs="oneCell">
    <xdr:from>
      <xdr:col>0</xdr:col>
      <xdr:colOff>414617</xdr:colOff>
      <xdr:row>74</xdr:row>
      <xdr:rowOff>100853</xdr:rowOff>
    </xdr:from>
    <xdr:to>
      <xdr:col>8</xdr:col>
      <xdr:colOff>268940</xdr:colOff>
      <xdr:row>91</xdr:row>
      <xdr:rowOff>209090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1381ECE5-8071-EB13-0E52-A38854E13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14617" y="15497735"/>
          <a:ext cx="8908676" cy="3740624"/>
        </a:xfrm>
        <a:prstGeom prst="rect">
          <a:avLst/>
        </a:prstGeom>
      </xdr:spPr>
    </xdr:pic>
    <xdr:clientData/>
  </xdr:twoCellAnchor>
  <xdr:twoCellAnchor editAs="oneCell">
    <xdr:from>
      <xdr:col>4</xdr:col>
      <xdr:colOff>470646</xdr:colOff>
      <xdr:row>57</xdr:row>
      <xdr:rowOff>67235</xdr:rowOff>
    </xdr:from>
    <xdr:to>
      <xdr:col>8</xdr:col>
      <xdr:colOff>285166</xdr:colOff>
      <xdr:row>70</xdr:row>
      <xdr:rowOff>32714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ECA489F4-FF65-0DD2-563B-DF276CE97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672852" y="11844617"/>
          <a:ext cx="4666667" cy="27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4</xdr:row>
      <xdr:rowOff>0</xdr:rowOff>
    </xdr:from>
    <xdr:to>
      <xdr:col>8</xdr:col>
      <xdr:colOff>38100</xdr:colOff>
      <xdr:row>22</xdr:row>
      <xdr:rowOff>114300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34B6107-ABDC-C6C7-F963-2E09039876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" y="857250"/>
          <a:ext cx="9058275" cy="3886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247650</xdr:colOff>
      <xdr:row>4</xdr:row>
      <xdr:rowOff>114300</xdr:rowOff>
    </xdr:from>
    <xdr:to>
      <xdr:col>17</xdr:col>
      <xdr:colOff>266700</xdr:colOff>
      <xdr:row>23</xdr:row>
      <xdr:rowOff>19050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3F3241EE-FC34-D7D7-3901-FF50FBA83E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7525" y="971550"/>
          <a:ext cx="7172325" cy="3886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395654</xdr:colOff>
      <xdr:row>4</xdr:row>
      <xdr:rowOff>51289</xdr:rowOff>
    </xdr:from>
    <xdr:to>
      <xdr:col>11</xdr:col>
      <xdr:colOff>85747</xdr:colOff>
      <xdr:row>25</xdr:row>
      <xdr:rowOff>2198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C6B13093-2B30-A710-6B6D-4B78741E63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385" y="915866"/>
          <a:ext cx="7390689" cy="4420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348342</xdr:colOff>
      <xdr:row>22</xdr:row>
      <xdr:rowOff>32658</xdr:rowOff>
    </xdr:from>
    <xdr:to>
      <xdr:col>11</xdr:col>
      <xdr:colOff>576942</xdr:colOff>
      <xdr:row>23</xdr:row>
      <xdr:rowOff>156483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3BCD264-F488-6B13-3C94-30598BF78F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4442" y="4713515"/>
          <a:ext cx="1600200" cy="3360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6</xdr:col>
      <xdr:colOff>249743</xdr:colOff>
      <xdr:row>13</xdr:row>
      <xdr:rowOff>156167</xdr:rowOff>
    </xdr:from>
    <xdr:ext cx="332783" cy="264560"/>
    <xdr:sp macro="" textlink="">
      <xdr:nvSpPr>
        <xdr:cNvPr id="4" name="TextBox 3">
          <a:extLst>
            <a:ext uri="{FF2B5EF4-FFF2-40B4-BE49-F238E27FC236}">
              <a16:creationId xmlns:a16="http://schemas.microsoft.com/office/drawing/2014/main" id="{6CC62283-21B5-8F7A-A009-462A229F6D39}"/>
            </a:ext>
          </a:extLst>
        </xdr:cNvPr>
        <xdr:cNvSpPr txBox="1"/>
      </xdr:nvSpPr>
      <xdr:spPr>
        <a:xfrm>
          <a:off x="5195416" y="2933071"/>
          <a:ext cx="3327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R1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oneCellAnchor>
    <xdr:from>
      <xdr:col>6</xdr:col>
      <xdr:colOff>254977</xdr:colOff>
      <xdr:row>16</xdr:row>
      <xdr:rowOff>37681</xdr:rowOff>
    </xdr:from>
    <xdr:ext cx="332783" cy="264560"/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BFFB56AE-FE57-464F-BCD0-8790377ECCAB}"/>
            </a:ext>
          </a:extLst>
        </xdr:cNvPr>
        <xdr:cNvSpPr txBox="1"/>
      </xdr:nvSpPr>
      <xdr:spPr>
        <a:xfrm>
          <a:off x="5200650" y="3452027"/>
          <a:ext cx="3327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R3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oneCellAnchor>
    <xdr:from>
      <xdr:col>0</xdr:col>
      <xdr:colOff>212272</xdr:colOff>
      <xdr:row>4</xdr:row>
      <xdr:rowOff>139192</xdr:rowOff>
    </xdr:from>
    <xdr:ext cx="332783" cy="264560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927D33E5-1167-4E34-9F9D-0934BCA2C78D}"/>
            </a:ext>
          </a:extLst>
        </xdr:cNvPr>
        <xdr:cNvSpPr txBox="1"/>
      </xdr:nvSpPr>
      <xdr:spPr>
        <a:xfrm>
          <a:off x="212272" y="999163"/>
          <a:ext cx="3327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R1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oneCellAnchor>
    <xdr:from>
      <xdr:col>7</xdr:col>
      <xdr:colOff>480855</xdr:colOff>
      <xdr:row>17</xdr:row>
      <xdr:rowOff>55057</xdr:rowOff>
    </xdr:from>
    <xdr:ext cx="332783" cy="264560"/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C73A0013-213A-4FC7-8C14-4774AA0ECA99}"/>
            </a:ext>
          </a:extLst>
        </xdr:cNvPr>
        <xdr:cNvSpPr txBox="1"/>
      </xdr:nvSpPr>
      <xdr:spPr>
        <a:xfrm>
          <a:off x="6115259" y="3681884"/>
          <a:ext cx="3327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R4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oneCellAnchor>
    <xdr:from>
      <xdr:col>8</xdr:col>
      <xdr:colOff>273818</xdr:colOff>
      <xdr:row>10</xdr:row>
      <xdr:rowOff>104669</xdr:rowOff>
    </xdr:from>
    <xdr:ext cx="332783" cy="264560"/>
    <xdr:sp macro="" textlink="">
      <xdr:nvSpPr>
        <xdr:cNvPr id="8" name="TextBox 7">
          <a:extLst>
            <a:ext uri="{FF2B5EF4-FFF2-40B4-BE49-F238E27FC236}">
              <a16:creationId xmlns:a16="http://schemas.microsoft.com/office/drawing/2014/main" id="{01430773-8C25-48C8-9A7E-D2BDAA544A27}"/>
            </a:ext>
          </a:extLst>
        </xdr:cNvPr>
        <xdr:cNvSpPr txBox="1"/>
      </xdr:nvSpPr>
      <xdr:spPr>
        <a:xfrm>
          <a:off x="6596953" y="2244131"/>
          <a:ext cx="33278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R2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oneCellAnchor>
    <xdr:from>
      <xdr:col>1</xdr:col>
      <xdr:colOff>369485</xdr:colOff>
      <xdr:row>5</xdr:row>
      <xdr:rowOff>53591</xdr:rowOff>
    </xdr:from>
    <xdr:ext cx="479170" cy="264560"/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EA2EE540-0678-4384-9F73-9C6990BB4F65}"/>
            </a:ext>
          </a:extLst>
        </xdr:cNvPr>
        <xdr:cNvSpPr txBox="1"/>
      </xdr:nvSpPr>
      <xdr:spPr>
        <a:xfrm>
          <a:off x="1058216" y="1130649"/>
          <a:ext cx="47917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850V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oneCellAnchor>
    <xdr:from>
      <xdr:col>1</xdr:col>
      <xdr:colOff>404654</xdr:colOff>
      <xdr:row>14</xdr:row>
      <xdr:rowOff>147375</xdr:rowOff>
    </xdr:from>
    <xdr:ext cx="336182" cy="264560"/>
    <xdr:sp macro="" textlink="">
      <xdr:nvSpPr>
        <xdr:cNvPr id="11" name="TextBox 10">
          <a:extLst>
            <a:ext uri="{FF2B5EF4-FFF2-40B4-BE49-F238E27FC236}">
              <a16:creationId xmlns:a16="http://schemas.microsoft.com/office/drawing/2014/main" id="{4E9FF772-F2A6-4D97-A6FA-5092D9225908}"/>
            </a:ext>
          </a:extLst>
        </xdr:cNvPr>
        <xdr:cNvSpPr txBox="1"/>
      </xdr:nvSpPr>
      <xdr:spPr>
        <a:xfrm>
          <a:off x="1093385" y="3136760"/>
          <a:ext cx="336182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2V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oneCellAnchor>
    <xdr:from>
      <xdr:col>6</xdr:col>
      <xdr:colOff>139420</xdr:colOff>
      <xdr:row>14</xdr:row>
      <xdr:rowOff>204525</xdr:rowOff>
    </xdr:from>
    <xdr:ext cx="336182" cy="264560"/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A5F226A1-FA76-4927-9FBD-C29C232E915F}"/>
            </a:ext>
          </a:extLst>
        </xdr:cNvPr>
        <xdr:cNvSpPr txBox="1"/>
      </xdr:nvSpPr>
      <xdr:spPr>
        <a:xfrm>
          <a:off x="5085093" y="3193910"/>
          <a:ext cx="336182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2V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oneCellAnchor>
    <xdr:from>
      <xdr:col>10</xdr:col>
      <xdr:colOff>313801</xdr:colOff>
      <xdr:row>13</xdr:row>
      <xdr:rowOff>56521</xdr:rowOff>
    </xdr:from>
    <xdr:ext cx="443263" cy="264560"/>
    <xdr:sp macro="" textlink="">
      <xdr:nvSpPr>
        <xdr:cNvPr id="14" name="TextBox 13">
          <a:extLst>
            <a:ext uri="{FF2B5EF4-FFF2-40B4-BE49-F238E27FC236}">
              <a16:creationId xmlns:a16="http://schemas.microsoft.com/office/drawing/2014/main" id="{0B60E712-6CB9-4960-A4B9-5046120C6517}"/>
            </a:ext>
          </a:extLst>
        </xdr:cNvPr>
        <xdr:cNvSpPr txBox="1"/>
      </xdr:nvSpPr>
      <xdr:spPr>
        <a:xfrm>
          <a:off x="8014397" y="2833425"/>
          <a:ext cx="44326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ko-KR" sz="1100">
              <a:solidFill>
                <a:srgbClr val="FF0000"/>
              </a:solidFill>
            </a:rPr>
            <a:t>3.3V</a:t>
          </a:r>
          <a:endParaRPr lang="ko-KR" altLang="en-US" sz="1100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13</xdr:col>
      <xdr:colOff>19050</xdr:colOff>
      <xdr:row>4</xdr:row>
      <xdr:rowOff>104775</xdr:rowOff>
    </xdr:from>
    <xdr:to>
      <xdr:col>21</xdr:col>
      <xdr:colOff>276225</xdr:colOff>
      <xdr:row>23</xdr:row>
      <xdr:rowOff>114300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E5256C58-2313-8FBB-F92E-9AA6E9BB4F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53600" y="962025"/>
          <a:ext cx="8410575" cy="3990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95250</xdr:colOff>
      <xdr:row>42</xdr:row>
      <xdr:rowOff>171450</xdr:rowOff>
    </xdr:from>
    <xdr:to>
      <xdr:col>5</xdr:col>
      <xdr:colOff>188467</xdr:colOff>
      <xdr:row>49</xdr:row>
      <xdr:rowOff>21554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AF68E4A9-281F-4A21-8D74-76F8F83E2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0" y="8201025"/>
          <a:ext cx="4208017" cy="1326479"/>
        </a:xfrm>
        <a:prstGeom prst="rect">
          <a:avLst/>
        </a:prstGeom>
      </xdr:spPr>
    </xdr:pic>
    <xdr:clientData/>
  </xdr:twoCellAnchor>
  <xdr:oneCellAnchor>
    <xdr:from>
      <xdr:col>1</xdr:col>
      <xdr:colOff>495300</xdr:colOff>
      <xdr:row>49</xdr:row>
      <xdr:rowOff>95250</xdr:rowOff>
    </xdr:from>
    <xdr:ext cx="6220558" cy="623632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FEB0ADE-E3DD-4DF1-85D9-70C6247BB72C}"/>
                </a:ext>
              </a:extLst>
            </xdr:cNvPr>
            <xdr:cNvSpPr txBox="1"/>
          </xdr:nvSpPr>
          <xdr:spPr>
            <a:xfrm>
              <a:off x="495300" y="9591675"/>
              <a:ext cx="6220558" cy="6236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left"/>
                  </m:oMathParaPr>
                  <m:oMath xmlns:m="http://schemas.openxmlformats.org/officeDocument/2006/math">
                    <m:sSub>
                      <m:sSubPr>
                        <m:ctrlPr>
                          <a:rPr lang="en-US" altLang="ko-KR" sz="16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𝑂𝑈𝑇</m:t>
                        </m:r>
                      </m:sub>
                    </m:sSub>
                    <m:r>
                      <a:rPr lang="en-US" altLang="ko-KR" sz="1600" i="1">
                        <a:latin typeface="Cambria Math" panose="02040503050406030204" pitchFamily="18" charset="0"/>
                      </a:rPr>
                      <m:t>=</m:t>
                    </m:r>
                    <m:sSub>
                      <m:sSubPr>
                        <m:ctrlPr>
                          <a:rPr lang="en-US" altLang="ko-KR" sz="160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𝐼𝑁</m:t>
                        </m:r>
                      </m:sub>
                    </m:sSub>
                    <m:sSup>
                      <m:sSupPr>
                        <m:ctrlPr>
                          <a:rPr lang="en-US" altLang="ko-KR" sz="1600" i="1">
                            <a:latin typeface="Cambria Math" panose="02040503050406030204" pitchFamily="18" charset="0"/>
                          </a:rPr>
                        </m:ctrlPr>
                      </m:sSupPr>
                      <m:e>
                        <m:d>
                          <m:dPr>
                            <m:ctrlPr>
                              <a:rPr lang="en-US" altLang="ko-KR" sz="1600" i="1">
                                <a:latin typeface="Cambria Math" panose="02040503050406030204" pitchFamily="18" charset="0"/>
                              </a:rPr>
                            </m:ctrlPr>
                          </m:dPr>
                          <m:e>
                            <m:f>
                              <m:fPr>
                                <m:ctrlPr>
                                  <a:rPr lang="en-US" altLang="ko-KR" sz="1600" i="1">
                                    <a:latin typeface="Cambria Math" panose="02040503050406030204" pitchFamily="18" charset="0"/>
                                  </a:rPr>
                                </m:ctrlPr>
                              </m:fPr>
                              <m:num>
                                <m:sSub>
                                  <m:sSubPr>
                                    <m:ctrlPr>
                                      <a:rPr lang="en-US" altLang="ko-KR" sz="160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𝐹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+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𝐺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+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1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∥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2</m:t>
                                    </m:r>
                                  </m:sub>
                                </m:sSub>
                              </m:num>
                              <m:den>
                                <m:sSub>
                                  <m:sSubPr>
                                    <m:ctrlPr>
                                      <a:rPr lang="en-US" altLang="ko-KR" sz="1600" i="1">
                                        <a:latin typeface="Cambria Math" panose="02040503050406030204" pitchFamily="18" charset="0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latin typeface="Cambria Math" panose="02040503050406030204" pitchFamily="18" charset="0"/>
                                      </a:rPr>
                                      <m:t>𝐺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+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1</m:t>
                                    </m:r>
                                  </m:sub>
                                </m:sSub>
                                <m:r>
                                  <a:rPr lang="en-US" altLang="ko-KR" sz="16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+mn-ea"/>
                                    <a:cs typeface="+mn-cs"/>
                                  </a:rPr>
                                  <m:t>∥</m:t>
                                </m:r>
                                <m:sSub>
                                  <m:sSubPr>
                                    <m:ctrlP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</m:ctrlPr>
                                  </m:sSubPr>
                                  <m:e>
                                    <m: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𝑅</m:t>
                                    </m:r>
                                  </m:e>
                                  <m:sub>
                                    <m:r>
                                      <a:rPr lang="en-US" altLang="ko-KR" sz="1600" b="0" i="1">
                                        <a:solidFill>
                                          <a:schemeClr val="tx1"/>
                                        </a:solidFill>
                                        <a:effectLst/>
                                        <a:latin typeface="Cambria Math" panose="02040503050406030204" pitchFamily="18" charset="0"/>
                                        <a:ea typeface="+mn-ea"/>
                                        <a:cs typeface="+mn-cs"/>
                                      </a:rPr>
                                      <m:t>2</m:t>
                                    </m:r>
                                  </m:sub>
                                </m:sSub>
                              </m:den>
                            </m:f>
                          </m:e>
                        </m:d>
                      </m:e>
                      <m:sup/>
                    </m:sSup>
                    <m:r>
                      <a:rPr lang="en-US" altLang="ko-KR" sz="1600" b="0" i="0">
                        <a:latin typeface="Cambria Math" panose="02040503050406030204" pitchFamily="18" charset="0"/>
                      </a:rPr>
                      <m:t>−</m:t>
                    </m:r>
                    <m:sSub>
                      <m:sSubPr>
                        <m:ctrlPr>
                          <a:rPr lang="en-US" altLang="ko-KR" sz="1600" b="0" i="1">
                            <a:latin typeface="Cambria Math" panose="02040503050406030204" pitchFamily="18" charset="0"/>
                          </a:rPr>
                        </m:ctrlPr>
                      </m:sSubPr>
                      <m:e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𝑉</m:t>
                        </m:r>
                      </m:e>
                      <m:sub>
                        <m:r>
                          <a:rPr lang="en-US" altLang="ko-KR" sz="1600" b="0" i="1">
                            <a:latin typeface="Cambria Math" panose="02040503050406030204" pitchFamily="18" charset="0"/>
                          </a:rPr>
                          <m:t>𝑅𝐸𝐹</m:t>
                        </m:r>
                      </m:sub>
                    </m:sSub>
                    <m:d>
                      <m:dPr>
                        <m:ctrlPr>
                          <a:rPr lang="en-US" altLang="ko-KR" sz="16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f>
                          <m:fPr>
                            <m:ctrlP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sub>
                            </m:sSub>
                          </m:num>
                          <m:den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sub>
                            </m:sSub>
                            <m: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sub>
                            </m:sSub>
                          </m:den>
                        </m:f>
                      </m:e>
                    </m:d>
                    <m:d>
                      <m:dPr>
                        <m:ctrlPr>
                          <a:rPr lang="en-US" altLang="ko-KR" sz="1600" b="0" i="1">
                            <a:latin typeface="Cambria Math" panose="02040503050406030204" pitchFamily="18" charset="0"/>
                          </a:rPr>
                        </m:ctrlPr>
                      </m:dPr>
                      <m:e>
                        <m:f>
                          <m:fPr>
                            <m:ctrlP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</m:ctrlPr>
                          </m:fPr>
                          <m:num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𝐹</m:t>
                                </m:r>
                              </m:sub>
                            </m:sSub>
                          </m:num>
                          <m:den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𝐺</m:t>
                                </m:r>
                              </m:sub>
                            </m:sSub>
                            <m: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  <m:t>+</m:t>
                            </m:r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1</m:t>
                                </m:r>
                              </m:sub>
                            </m:sSub>
                            <m:r>
                              <a:rPr lang="en-US" altLang="ko-KR" sz="1600" b="0" i="1">
                                <a:latin typeface="Cambria Math" panose="02040503050406030204" pitchFamily="18" charset="0"/>
                              </a:rPr>
                              <m:t>∥</m:t>
                            </m:r>
                            <m:sSub>
                              <m:sSubPr>
                                <m:ctrlP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600" b="0" i="1">
                                    <a:latin typeface="Cambria Math" panose="02040503050406030204" pitchFamily="18" charset="0"/>
                                  </a:rPr>
                                  <m:t>2</m:t>
                                </m:r>
                              </m:sub>
                            </m:sSub>
                          </m:den>
                        </m:f>
                      </m:e>
                    </m:d>
                  </m:oMath>
                </m:oMathPara>
              </a14:m>
              <a:endParaRPr lang="ko-KR" altLang="en-US" sz="1600"/>
            </a:p>
          </xdr:txBody>
        </xdr:sp>
      </mc:Choice>
      <mc:Fallback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FEB0ADE-E3DD-4DF1-85D9-70C6247BB72C}"/>
                </a:ext>
              </a:extLst>
            </xdr:cNvPr>
            <xdr:cNvSpPr txBox="1"/>
          </xdr:nvSpPr>
          <xdr:spPr>
            <a:xfrm>
              <a:off x="495300" y="9591675"/>
              <a:ext cx="6220558" cy="623632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altLang="ko-KR" sz="1600" b="0" i="0">
                  <a:latin typeface="Cambria Math" panose="02040503050406030204" pitchFamily="18" charset="0"/>
                </a:rPr>
                <a:t>𝑉_𝑂𝑈𝑇</a:t>
              </a:r>
              <a:r>
                <a:rPr lang="en-US" altLang="ko-KR" sz="1600" i="0">
                  <a:latin typeface="Cambria Math" panose="02040503050406030204" pitchFamily="18" charset="0"/>
                </a:rPr>
                <a:t>=</a:t>
              </a:r>
              <a:r>
                <a:rPr lang="en-US" altLang="ko-KR" sz="1600" b="0" i="0">
                  <a:latin typeface="Cambria Math" panose="02040503050406030204" pitchFamily="18" charset="0"/>
                </a:rPr>
                <a:t>𝑉_𝐼𝑁 </a:t>
              </a:r>
              <a:r>
                <a:rPr lang="en-US" altLang="ko-KR" sz="1600" i="0">
                  <a:latin typeface="Cambria Math" panose="02040503050406030204" pitchFamily="18" charset="0"/>
                </a:rPr>
                <a:t>((</a:t>
              </a:r>
              <a:r>
                <a:rPr lang="en-US" altLang="ko-KR" sz="1600" b="0" i="0">
                  <a:latin typeface="Cambria Math" panose="02040503050406030204" pitchFamily="18" charset="0"/>
                </a:rPr>
                <a:t>𝑅_𝐹+𝑅_𝐺+𝑅_1∥𝑅_2)/(𝑅_𝐺+</a:t>
              </a:r>
              <a:r>
                <a:rPr lang="en-US" altLang="ko-KR" sz="16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𝑅_1∥𝑅_2 ))^ </a:t>
              </a:r>
              <a:r>
                <a:rPr lang="en-US" altLang="ko-KR" sz="1600" b="0" i="0">
                  <a:latin typeface="Cambria Math" panose="02040503050406030204" pitchFamily="18" charset="0"/>
                </a:rPr>
                <a:t>−𝑉_𝑅𝐸𝐹 (𝑅_2/(𝑅_1+𝑅_2 ))(𝑅_𝐹/(𝑅_𝐺+𝑅_1∥𝑅_2 ))</a:t>
              </a:r>
              <a:endParaRPr lang="ko-KR" altLang="en-US" sz="1600"/>
            </a:p>
          </xdr:txBody>
        </xdr:sp>
      </mc:Fallback>
    </mc:AlternateContent>
    <xdr:clientData/>
  </xdr:oneCellAnchor>
  <xdr:twoCellAnchor editAs="oneCell">
    <xdr:from>
      <xdr:col>1</xdr:col>
      <xdr:colOff>266700</xdr:colOff>
      <xdr:row>53</xdr:row>
      <xdr:rowOff>76200</xdr:rowOff>
    </xdr:from>
    <xdr:to>
      <xdr:col>9</xdr:col>
      <xdr:colOff>300878</xdr:colOff>
      <xdr:row>73</xdr:row>
      <xdr:rowOff>19050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CC62A35-F18C-F0CF-0044-B3DC76A5A8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6700" y="11249025"/>
          <a:ext cx="9058275" cy="4133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14</xdr:col>
      <xdr:colOff>50427</xdr:colOff>
      <xdr:row>46</xdr:row>
      <xdr:rowOff>108137</xdr:rowOff>
    </xdr:from>
    <xdr:ext cx="1833563" cy="351058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58BF990F-0A27-4B05-8D00-047D0F1405E9}"/>
                </a:ext>
              </a:extLst>
            </xdr:cNvPr>
            <xdr:cNvSpPr txBox="1"/>
          </xdr:nvSpPr>
          <xdr:spPr>
            <a:xfrm>
              <a:off x="13968133" y="10002931"/>
              <a:ext cx="1833563" cy="3510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altLang="ko-KR" sz="12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</m:t>
                        </m:r>
                      </m:e>
                      <m:sub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2</m:t>
                        </m:r>
                      </m:sub>
                    </m:sSub>
                    <m:r>
                      <a:rPr lang="en-US" altLang="ko-KR" sz="12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f>
                      <m:fPr>
                        <m:ctrlPr>
                          <a:rPr lang="en-US" altLang="ko-KR" sz="1200" i="1">
                            <a:latin typeface="Cambria Math" panose="02040503050406030204" pitchFamily="18" charset="0"/>
                          </a:rPr>
                        </m:ctrlPr>
                      </m:fPr>
                      <m:num>
                        <m:sSub>
                          <m:sSubPr>
                            <m:ctrlPr>
                              <a:rPr lang="en-US" altLang="ko-KR" sz="1200" i="1">
                                <a:latin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altLang="ko-KR" sz="1200" b="0" i="1">
                                <a:latin typeface="Cambria Math" panose="02040503050406030204" pitchFamily="18" charset="0"/>
                              </a:rPr>
                              <m:t>𝑉</m:t>
                            </m:r>
                          </m:e>
                          <m:sub>
                            <m:r>
                              <a:rPr lang="en-US" altLang="ko-KR" sz="1200" b="0" i="1">
                                <a:latin typeface="Cambria Math" panose="02040503050406030204" pitchFamily="18" charset="0"/>
                              </a:rPr>
                              <m:t>𝑟𝑒𝑓</m:t>
                            </m:r>
                          </m:sub>
                        </m:sSub>
                        <m:r>
                          <a:rPr lang="en-US" altLang="ko-KR" sz="120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×</m:t>
                        </m:r>
                        <m:r>
                          <a:rPr lang="en-US" altLang="ko-KR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𝑚</m:t>
                        </m:r>
                        <m:r>
                          <a:rPr lang="en-US" altLang="ko-KR" sz="1200" b="0" i="1">
                            <a:latin typeface="Cambria Math" panose="02040503050406030204" pitchFamily="18" charset="0"/>
                            <a:ea typeface="Cambria Math" panose="02040503050406030204" pitchFamily="18" charset="0"/>
                          </a:rPr>
                          <m:t>×</m:t>
                        </m:r>
                        <m:sSub>
                          <m:sSubPr>
                            <m:ctrlPr>
                              <a:rPr lang="en-US" altLang="ko-KR" sz="12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</m:ctrlPr>
                          </m:sSubPr>
                          <m:e>
                            <m:r>
                              <a:rPr lang="en-US" altLang="ko-KR" sz="12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𝑅</m:t>
                            </m:r>
                          </m:e>
                          <m:sub>
                            <m:r>
                              <a:rPr lang="en-US" altLang="ko-KR" sz="1200" b="0" i="1"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</a:rPr>
                              <m:t>1</m:t>
                            </m:r>
                          </m:sub>
                        </m:sSub>
                      </m:num>
                      <m:den>
                        <m:r>
                          <a:rPr lang="en-US" altLang="ko-KR" sz="1200" b="0" i="1">
                            <a:latin typeface="Cambria Math" panose="02040503050406030204" pitchFamily="18" charset="0"/>
                          </a:rPr>
                          <m:t>𝑏</m:t>
                        </m:r>
                      </m:den>
                    </m:f>
                  </m:oMath>
                </m:oMathPara>
              </a14:m>
              <a:endParaRPr lang="ko-KR" altLang="en-US" sz="1200"/>
            </a:p>
          </xdr:txBody>
        </xdr:sp>
      </mc:Choice>
      <mc:Fallback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58BF990F-0A27-4B05-8D00-047D0F1405E9}"/>
                </a:ext>
              </a:extLst>
            </xdr:cNvPr>
            <xdr:cNvSpPr txBox="1"/>
          </xdr:nvSpPr>
          <xdr:spPr>
            <a:xfrm>
              <a:off x="13968133" y="10002931"/>
              <a:ext cx="1833563" cy="351058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altLang="ko-KR" sz="12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𝑅_2=</a:t>
              </a:r>
              <a:r>
                <a:rPr lang="en-US" altLang="ko-KR" sz="1200" i="0">
                  <a:latin typeface="Cambria Math" panose="02040503050406030204" pitchFamily="18" charset="0"/>
                </a:rPr>
                <a:t>(</a:t>
              </a:r>
              <a:r>
                <a:rPr lang="en-US" altLang="ko-KR" sz="1200" b="0" i="0">
                  <a:latin typeface="Cambria Math" panose="02040503050406030204" pitchFamily="18" charset="0"/>
                </a:rPr>
                <a:t>𝑉_𝑟𝑒𝑓</a:t>
              </a:r>
              <a:r>
                <a:rPr lang="en-US" altLang="ko-KR" sz="1200" i="0">
                  <a:latin typeface="Cambria Math" panose="02040503050406030204" pitchFamily="18" charset="0"/>
                  <a:ea typeface="Cambria Math" panose="02040503050406030204" pitchFamily="18" charset="0"/>
                </a:rPr>
                <a:t>×</a:t>
              </a:r>
              <a:r>
                <a:rPr lang="en-US" altLang="ko-KR" sz="1200" b="0" i="0">
                  <a:latin typeface="Cambria Math" panose="02040503050406030204" pitchFamily="18" charset="0"/>
                  <a:ea typeface="Cambria Math" panose="02040503050406030204" pitchFamily="18" charset="0"/>
                </a:rPr>
                <a:t>𝑚×𝑅_1)/</a:t>
              </a:r>
              <a:r>
                <a:rPr lang="en-US" altLang="ko-KR" sz="1200" b="0" i="0">
                  <a:latin typeface="Cambria Math" panose="02040503050406030204" pitchFamily="18" charset="0"/>
                </a:rPr>
                <a:t>𝑏</a:t>
              </a:r>
              <a:endParaRPr lang="ko-KR" altLang="en-US" sz="1200"/>
            </a:p>
          </xdr:txBody>
        </xdr:sp>
      </mc:Fallback>
    </mc:AlternateContent>
    <xdr:clientData/>
  </xdr:oneCellAnchor>
  <xdr:oneCellAnchor>
    <xdr:from>
      <xdr:col>14</xdr:col>
      <xdr:colOff>359665</xdr:colOff>
      <xdr:row>48</xdr:row>
      <xdr:rowOff>41028</xdr:rowOff>
    </xdr:from>
    <xdr:ext cx="1833563" cy="414985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DD20C0B-333E-44C4-9AB7-7182E3398E25}"/>
                </a:ext>
              </a:extLst>
            </xdr:cNvPr>
            <xdr:cNvSpPr txBox="1"/>
          </xdr:nvSpPr>
          <xdr:spPr>
            <a:xfrm>
              <a:off x="14277371" y="10361646"/>
              <a:ext cx="1833563" cy="4149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14:m>
                <m:oMathPara xmlns:m="http://schemas.openxmlformats.org/officeDocument/2006/math">
                  <m:oMathParaPr>
                    <m:jc m:val="centerGroup"/>
                  </m:oMathParaPr>
                  <m:oMath xmlns:m="http://schemas.openxmlformats.org/officeDocument/2006/math">
                    <m:sSub>
                      <m:sSubPr>
                        <m:ctrlPr>
                          <a:rPr lang="en-US" altLang="ko-KR" sz="120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</m:t>
                        </m:r>
                      </m:e>
                      <m:sub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𝐹</m:t>
                        </m:r>
                      </m:sub>
                    </m:sSub>
                    <m:r>
                      <a:rPr lang="en-US" altLang="ko-KR" sz="1200" b="0" i="1">
                        <a:solidFill>
                          <a:schemeClr val="tx1"/>
                        </a:solidFill>
                        <a:effectLst/>
                        <a:latin typeface="Cambria Math" panose="02040503050406030204" pitchFamily="18" charset="0"/>
                        <a:ea typeface="+mn-ea"/>
                        <a:cs typeface="+mn-cs"/>
                      </a:rPr>
                      <m:t>=</m:t>
                    </m:r>
                    <m:sSub>
                      <m:sSubPr>
                        <m:ctrlP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sSubPr>
                      <m:e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𝑅</m:t>
                        </m:r>
                      </m:e>
                      <m:sub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𝐺</m:t>
                        </m:r>
                      </m:sub>
                    </m:sSub>
                    <m:d>
                      <m:dPr>
                        <m:ctrlP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</m:ctrlPr>
                      </m:dPr>
                      <m:e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+mn-ea"/>
                            <a:cs typeface="+mn-cs"/>
                          </a:rPr>
                          <m:t>𝑚</m:t>
                        </m:r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  <m:t>×</m:t>
                        </m:r>
                        <m:f>
                          <m:fPr>
                            <m:ctrlPr>
                              <a:rPr lang="en-US" altLang="ko-KR" sz="12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  <a:cs typeface="+mn-cs"/>
                              </a:rPr>
                            </m:ctrlPr>
                          </m:fPr>
                          <m:num>
                            <m:sSub>
                              <m:sSubPr>
                                <m:ctrlP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1</m:t>
                                </m:r>
                              </m:sub>
                            </m:sSub>
                            <m:r>
                              <a:rPr lang="en-US" altLang="ko-KR" sz="1200" b="0" i="1">
                                <a:solidFill>
                                  <a:schemeClr val="tx1"/>
                                </a:solidFill>
                                <a:effectLst/>
                                <a:latin typeface="Cambria Math" panose="02040503050406030204" pitchFamily="18" charset="0"/>
                                <a:ea typeface="Cambria Math" panose="02040503050406030204" pitchFamily="18" charset="0"/>
                                <a:cs typeface="+mn-cs"/>
                              </a:rPr>
                              <m:t>+</m:t>
                            </m:r>
                            <m:sSub>
                              <m:sSubPr>
                                <m:ctrlP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2</m:t>
                                </m:r>
                              </m:sub>
                            </m:sSub>
                          </m:num>
                          <m:den>
                            <m:sSub>
                              <m:sSubPr>
                                <m:ctrlP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</m:ctrlPr>
                              </m:sSubPr>
                              <m:e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𝑅</m:t>
                                </m:r>
                              </m:e>
                              <m:sub>
                                <m:r>
                                  <a:rPr lang="en-US" altLang="ko-KR" sz="1200" b="0" i="1">
                                    <a:solidFill>
                                      <a:schemeClr val="tx1"/>
                                    </a:solidFill>
                                    <a:effectLst/>
                                    <a:latin typeface="Cambria Math" panose="02040503050406030204" pitchFamily="18" charset="0"/>
                                    <a:ea typeface="Cambria Math" panose="02040503050406030204" pitchFamily="18" charset="0"/>
                                    <a:cs typeface="+mn-cs"/>
                                  </a:rPr>
                                  <m:t>2</m:t>
                                </m:r>
                              </m:sub>
                            </m:sSub>
                          </m:den>
                        </m:f>
                        <m:r>
                          <a:rPr lang="en-US" altLang="ko-KR" sz="1200" b="0" i="1">
                            <a:solidFill>
                              <a:schemeClr val="tx1"/>
                            </a:solidFill>
                            <a:effectLst/>
                            <a:latin typeface="Cambria Math" panose="02040503050406030204" pitchFamily="18" charset="0"/>
                            <a:ea typeface="Cambria Math" panose="02040503050406030204" pitchFamily="18" charset="0"/>
                            <a:cs typeface="+mn-cs"/>
                          </a:rPr>
                          <m:t>−1</m:t>
                        </m:r>
                      </m:e>
                    </m:d>
                  </m:oMath>
                </m:oMathPara>
              </a14:m>
              <a:endParaRPr lang="ko-KR" altLang="en-US" sz="1200"/>
            </a:p>
          </xdr:txBody>
        </xdr:sp>
      </mc:Choice>
      <mc:Fallback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3DD20C0B-333E-44C4-9AB7-7182E3398E25}"/>
                </a:ext>
              </a:extLst>
            </xdr:cNvPr>
            <xdr:cNvSpPr txBox="1"/>
          </xdr:nvSpPr>
          <xdr:spPr>
            <a:xfrm>
              <a:off x="14277371" y="10361646"/>
              <a:ext cx="1833563" cy="414985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square" lIns="0" tIns="0" rIns="0" bIns="0" rtlCol="0" anchor="t">
              <a:spAutoFit/>
            </a:bodyPr>
            <a:lstStyle/>
            <a:p>
              <a:pPr/>
              <a:r>
                <a:rPr lang="en-US" altLang="ko-KR" sz="12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𝑅_𝐹=𝑅_𝐺 (𝑚</a:t>
              </a:r>
              <a:r>
                <a:rPr lang="en-US" altLang="ko-KR" sz="1200" b="0" i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Cambria Math" panose="02040503050406030204" pitchFamily="18" charset="0"/>
                  <a:cs typeface="+mn-cs"/>
                </a:rPr>
                <a:t>×(𝑅_1+𝑅_2)/𝑅_2 −1)</a:t>
              </a:r>
              <a:endParaRPr lang="ko-KR" altLang="en-US" sz="1200"/>
            </a:p>
          </xdr:txBody>
        </xdr:sp>
      </mc:Fallback>
    </mc:AlternateContent>
    <xdr:clientData/>
  </xdr:oneCellAnchor>
  <xdr:twoCellAnchor editAs="oneCell">
    <xdr:from>
      <xdr:col>14</xdr:col>
      <xdr:colOff>361024</xdr:colOff>
      <xdr:row>50</xdr:row>
      <xdr:rowOff>141292</xdr:rowOff>
    </xdr:from>
    <xdr:to>
      <xdr:col>15</xdr:col>
      <xdr:colOff>1635767</xdr:colOff>
      <xdr:row>55</xdr:row>
      <xdr:rowOff>133027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B6DF1CC-435B-4B02-B378-B6FC1D896B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278730" y="10887733"/>
          <a:ext cx="2160007" cy="1056294"/>
        </a:xfrm>
        <a:prstGeom prst="rect">
          <a:avLst/>
        </a:prstGeom>
      </xdr:spPr>
    </xdr:pic>
    <xdr:clientData/>
  </xdr:twoCellAnchor>
  <xdr:twoCellAnchor editAs="oneCell">
    <xdr:from>
      <xdr:col>10</xdr:col>
      <xdr:colOff>190500</xdr:colOff>
      <xdr:row>43</xdr:row>
      <xdr:rowOff>152400</xdr:rowOff>
    </xdr:from>
    <xdr:to>
      <xdr:col>13</xdr:col>
      <xdr:colOff>771070</xdr:colOff>
      <xdr:row>54</xdr:row>
      <xdr:rowOff>104493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E946B7B5-D975-45EB-92D8-4091ADB6FF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91750" y="9248775"/>
          <a:ext cx="3638095" cy="2257143"/>
        </a:xfrm>
        <a:prstGeom prst="rect">
          <a:avLst/>
        </a:prstGeom>
      </xdr:spPr>
    </xdr:pic>
    <xdr:clientData/>
  </xdr:twoCellAnchor>
  <xdr:twoCellAnchor editAs="oneCell">
    <xdr:from>
      <xdr:col>14</xdr:col>
      <xdr:colOff>123266</xdr:colOff>
      <xdr:row>43</xdr:row>
      <xdr:rowOff>134471</xdr:rowOff>
    </xdr:from>
    <xdr:to>
      <xdr:col>18</xdr:col>
      <xdr:colOff>342341</xdr:colOff>
      <xdr:row>46</xdr:row>
      <xdr:rowOff>32000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FC0FA014-73F9-4206-A788-D24F77797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040972" y="9390530"/>
          <a:ext cx="4600575" cy="536264"/>
        </a:xfrm>
        <a:prstGeom prst="rect">
          <a:avLst/>
        </a:prstGeom>
      </xdr:spPr>
    </xdr:pic>
    <xdr:clientData/>
  </xdr:twoCellAnchor>
  <xdr:twoCellAnchor editAs="oneCell">
    <xdr:from>
      <xdr:col>10</xdr:col>
      <xdr:colOff>302558</xdr:colOff>
      <xdr:row>55</xdr:row>
      <xdr:rowOff>89646</xdr:rowOff>
    </xdr:from>
    <xdr:to>
      <xdr:col>18</xdr:col>
      <xdr:colOff>26317</xdr:colOff>
      <xdr:row>76</xdr:row>
      <xdr:rowOff>33617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882FFFD2-51C1-8A87-37AD-DC00ADA8EF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98205" y="11900646"/>
          <a:ext cx="8027318" cy="44151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6A3B84-D8D1-4438-B132-3E1477587AAA}">
  <dimension ref="A1:H15"/>
  <sheetViews>
    <sheetView workbookViewId="0">
      <selection activeCell="F18" sqref="F18"/>
    </sheetView>
  </sheetViews>
  <sheetFormatPr defaultRowHeight="16.5" x14ac:dyDescent="0.3"/>
  <cols>
    <col min="2" max="2" width="9.875" style="1" bestFit="1" customWidth="1"/>
    <col min="3" max="3" width="13.75" bestFit="1" customWidth="1"/>
  </cols>
  <sheetData>
    <row r="1" spans="1:8" x14ac:dyDescent="0.3">
      <c r="A1" s="9" t="s">
        <v>17</v>
      </c>
    </row>
    <row r="2" spans="1:8" x14ac:dyDescent="0.3">
      <c r="A2" t="s">
        <v>18</v>
      </c>
    </row>
    <row r="3" spans="1:8" x14ac:dyDescent="0.3">
      <c r="A3" t="s">
        <v>19</v>
      </c>
    </row>
    <row r="4" spans="1:8" x14ac:dyDescent="0.3">
      <c r="A4" t="s">
        <v>28</v>
      </c>
    </row>
    <row r="5" spans="1:8" x14ac:dyDescent="0.3">
      <c r="A5" t="s">
        <v>20</v>
      </c>
    </row>
    <row r="7" spans="1:8" x14ac:dyDescent="0.3">
      <c r="A7" s="3" t="s">
        <v>21</v>
      </c>
      <c r="B7" s="4" t="s">
        <v>22</v>
      </c>
      <c r="C7" s="3" t="s">
        <v>23</v>
      </c>
      <c r="D7" s="6" t="s">
        <v>24</v>
      </c>
      <c r="E7" s="7"/>
      <c r="F7" s="7"/>
      <c r="G7" s="8"/>
      <c r="H7" s="3" t="s">
        <v>26</v>
      </c>
    </row>
    <row r="8" spans="1:8" x14ac:dyDescent="0.3">
      <c r="A8" s="3">
        <v>1</v>
      </c>
      <c r="B8" s="4" t="s">
        <v>0</v>
      </c>
      <c r="C8" s="3" t="s">
        <v>1</v>
      </c>
      <c r="D8" s="6" t="s">
        <v>3</v>
      </c>
      <c r="E8" s="7"/>
      <c r="F8" s="7"/>
      <c r="G8" s="8"/>
      <c r="H8" s="3" t="s">
        <v>25</v>
      </c>
    </row>
    <row r="9" spans="1:8" x14ac:dyDescent="0.3">
      <c r="A9" s="3">
        <v>2</v>
      </c>
      <c r="B9" s="4" t="s">
        <v>2</v>
      </c>
      <c r="C9" s="3" t="s">
        <v>1</v>
      </c>
      <c r="D9" s="6" t="s">
        <v>4</v>
      </c>
      <c r="E9" s="7"/>
      <c r="F9" s="7"/>
      <c r="G9" s="8"/>
      <c r="H9" s="3" t="s">
        <v>27</v>
      </c>
    </row>
    <row r="10" spans="1:8" x14ac:dyDescent="0.3">
      <c r="A10" s="3">
        <v>3</v>
      </c>
      <c r="B10" s="4" t="s">
        <v>5</v>
      </c>
      <c r="C10" s="3" t="s">
        <v>6</v>
      </c>
      <c r="D10" s="6" t="s">
        <v>8</v>
      </c>
      <c r="E10" s="7"/>
      <c r="F10" s="7"/>
      <c r="G10" s="8"/>
      <c r="H10" s="3" t="s">
        <v>25</v>
      </c>
    </row>
    <row r="11" spans="1:8" x14ac:dyDescent="0.3">
      <c r="A11" s="3">
        <v>4</v>
      </c>
      <c r="B11" s="4" t="s">
        <v>7</v>
      </c>
      <c r="C11" s="3" t="s">
        <v>6</v>
      </c>
      <c r="D11" s="6" t="s">
        <v>9</v>
      </c>
      <c r="E11" s="7"/>
      <c r="F11" s="7"/>
      <c r="G11" s="8"/>
      <c r="H11" s="3" t="s">
        <v>27</v>
      </c>
    </row>
    <row r="12" spans="1:8" x14ac:dyDescent="0.3">
      <c r="A12" s="3">
        <v>5</v>
      </c>
      <c r="B12" s="4" t="s">
        <v>10</v>
      </c>
      <c r="C12" s="3" t="s">
        <v>11</v>
      </c>
      <c r="D12" s="6" t="s">
        <v>12</v>
      </c>
      <c r="E12" s="7"/>
      <c r="F12" s="7"/>
      <c r="G12" s="8"/>
      <c r="H12" s="3" t="s">
        <v>25</v>
      </c>
    </row>
    <row r="13" spans="1:8" x14ac:dyDescent="0.3">
      <c r="A13" s="3">
        <v>6</v>
      </c>
      <c r="B13" s="4" t="s">
        <v>13</v>
      </c>
      <c r="C13" s="3" t="s">
        <v>11</v>
      </c>
      <c r="D13" s="6" t="s">
        <v>4</v>
      </c>
      <c r="E13" s="7"/>
      <c r="F13" s="7"/>
      <c r="G13" s="8"/>
      <c r="H13" s="3" t="s">
        <v>27</v>
      </c>
    </row>
    <row r="14" spans="1:8" x14ac:dyDescent="0.3">
      <c r="A14" s="3">
        <v>7</v>
      </c>
      <c r="B14" s="4" t="s">
        <v>14</v>
      </c>
      <c r="C14" s="3" t="s">
        <v>15</v>
      </c>
      <c r="D14" s="6" t="s">
        <v>8</v>
      </c>
      <c r="E14" s="7"/>
      <c r="F14" s="7"/>
      <c r="G14" s="8"/>
      <c r="H14" s="3" t="s">
        <v>25</v>
      </c>
    </row>
    <row r="15" spans="1:8" x14ac:dyDescent="0.3">
      <c r="A15" s="3">
        <v>8</v>
      </c>
      <c r="B15" s="4" t="s">
        <v>16</v>
      </c>
      <c r="C15" s="3" t="s">
        <v>15</v>
      </c>
      <c r="D15" s="6" t="s">
        <v>9</v>
      </c>
      <c r="E15" s="7"/>
      <c r="F15" s="7"/>
      <c r="G15" s="8"/>
      <c r="H15" s="3" t="s">
        <v>27</v>
      </c>
    </row>
  </sheetData>
  <mergeCells count="9">
    <mergeCell ref="D13:G13"/>
    <mergeCell ref="D14:G14"/>
    <mergeCell ref="D15:G15"/>
    <mergeCell ref="D7:G7"/>
    <mergeCell ref="D8:G8"/>
    <mergeCell ref="D9:G9"/>
    <mergeCell ref="D10:G10"/>
    <mergeCell ref="D11:G11"/>
    <mergeCell ref="D12:G12"/>
  </mergeCells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302E39-CA34-48AD-95D0-7BE4EDB6AABE}">
  <dimension ref="A1:X84"/>
  <sheetViews>
    <sheetView topLeftCell="A29" zoomScaleNormal="100" workbookViewId="0">
      <selection activeCell="I45" sqref="H45:I45"/>
    </sheetView>
  </sheetViews>
  <sheetFormatPr defaultRowHeight="16.5" x14ac:dyDescent="0.3"/>
  <cols>
    <col min="2" max="2" width="14.5" customWidth="1"/>
    <col min="3" max="3" width="11.25" customWidth="1"/>
    <col min="5" max="5" width="11.25" customWidth="1"/>
    <col min="6" max="6" width="24.625" customWidth="1"/>
    <col min="12" max="12" width="12.5" customWidth="1"/>
    <col min="13" max="13" width="19.375" customWidth="1"/>
    <col min="14" max="14" width="11.875" customWidth="1"/>
    <col min="17" max="17" width="26.5" customWidth="1"/>
    <col min="18" max="18" width="13.375" bestFit="1" customWidth="1"/>
  </cols>
  <sheetData>
    <row r="1" spans="1:12" ht="17.25" x14ac:dyDescent="0.3">
      <c r="A1" s="28" t="s">
        <v>29</v>
      </c>
    </row>
    <row r="2" spans="1:12" ht="17.25" x14ac:dyDescent="0.3">
      <c r="A2" s="29" t="s">
        <v>96</v>
      </c>
    </row>
    <row r="3" spans="1:12" ht="17.25" x14ac:dyDescent="0.3">
      <c r="A3" s="29"/>
    </row>
    <row r="4" spans="1:12" x14ac:dyDescent="0.3">
      <c r="A4" s="9" t="s">
        <v>97</v>
      </c>
      <c r="L4" s="9" t="s">
        <v>98</v>
      </c>
    </row>
    <row r="25" spans="2:17" x14ac:dyDescent="0.3">
      <c r="B25" s="9" t="s">
        <v>30</v>
      </c>
      <c r="F25" s="26" t="s">
        <v>88</v>
      </c>
      <c r="L25" s="9" t="s">
        <v>99</v>
      </c>
      <c r="Q25" s="26" t="s">
        <v>88</v>
      </c>
    </row>
    <row r="26" spans="2:17" x14ac:dyDescent="0.3">
      <c r="B26" s="3" t="s">
        <v>50</v>
      </c>
      <c r="C26" s="3" t="s">
        <v>51</v>
      </c>
      <c r="D26" s="3" t="s">
        <v>52</v>
      </c>
      <c r="E26" s="3" t="s">
        <v>53</v>
      </c>
      <c r="F26" s="3" t="s">
        <v>56</v>
      </c>
      <c r="L26" s="5" t="s">
        <v>112</v>
      </c>
      <c r="M26" s="5"/>
      <c r="N26" s="5"/>
      <c r="O26" s="5"/>
      <c r="P26" s="5"/>
      <c r="Q26" s="2"/>
    </row>
    <row r="27" spans="2:17" x14ac:dyDescent="0.3">
      <c r="B27" s="13" t="s">
        <v>31</v>
      </c>
      <c r="C27" s="25" t="s">
        <v>46</v>
      </c>
      <c r="D27" s="2">
        <v>380</v>
      </c>
      <c r="E27" s="2" t="s">
        <v>45</v>
      </c>
      <c r="F27" s="2"/>
      <c r="L27" s="5" t="s">
        <v>145</v>
      </c>
      <c r="M27" s="5"/>
      <c r="N27" s="5"/>
      <c r="O27" s="5"/>
      <c r="P27" s="5"/>
      <c r="Q27" s="2"/>
    </row>
    <row r="28" spans="2:17" x14ac:dyDescent="0.3">
      <c r="B28" s="13"/>
      <c r="C28" s="2" t="s">
        <v>42</v>
      </c>
      <c r="D28" s="14">
        <f>D27*SQRT(2)</f>
        <v>537.40115370177614</v>
      </c>
      <c r="E28" s="2" t="s">
        <v>47</v>
      </c>
      <c r="F28" s="2" t="s">
        <v>132</v>
      </c>
      <c r="L28" s="3" t="s">
        <v>21</v>
      </c>
      <c r="M28" s="3" t="s">
        <v>50</v>
      </c>
      <c r="N28" s="3" t="s">
        <v>51</v>
      </c>
      <c r="O28" s="3" t="s">
        <v>52</v>
      </c>
      <c r="P28" s="3" t="s">
        <v>53</v>
      </c>
      <c r="Q28" s="2" t="s">
        <v>56</v>
      </c>
    </row>
    <row r="29" spans="2:17" x14ac:dyDescent="0.3">
      <c r="B29" s="15" t="s">
        <v>58</v>
      </c>
      <c r="C29" s="2" t="s">
        <v>59</v>
      </c>
      <c r="D29" s="14">
        <f>D28*1.2</f>
        <v>644.88138444213132</v>
      </c>
      <c r="E29" s="2" t="s">
        <v>47</v>
      </c>
      <c r="F29" s="2" t="s">
        <v>60</v>
      </c>
      <c r="L29" s="3">
        <v>1</v>
      </c>
      <c r="M29" s="2" t="s">
        <v>113</v>
      </c>
      <c r="N29" s="25" t="s">
        <v>127</v>
      </c>
      <c r="O29" s="2">
        <v>380</v>
      </c>
      <c r="P29" s="2" t="s">
        <v>32</v>
      </c>
      <c r="Q29" s="2"/>
    </row>
    <row r="30" spans="2:17" x14ac:dyDescent="0.3">
      <c r="B30" s="15" t="s">
        <v>33</v>
      </c>
      <c r="C30" s="2" t="s">
        <v>34</v>
      </c>
      <c r="D30" s="2">
        <v>3</v>
      </c>
      <c r="E30" s="16" t="s">
        <v>37</v>
      </c>
      <c r="F30" s="16" t="s">
        <v>54</v>
      </c>
      <c r="L30" s="3">
        <v>2</v>
      </c>
      <c r="M30" s="2" t="s">
        <v>131</v>
      </c>
      <c r="N30" s="2" t="s">
        <v>128</v>
      </c>
      <c r="O30" s="2">
        <f>SQRT(2)*O29*1.2</f>
        <v>644.88138444213132</v>
      </c>
      <c r="P30" s="2" t="s">
        <v>32</v>
      </c>
      <c r="Q30" s="2" t="s">
        <v>133</v>
      </c>
    </row>
    <row r="31" spans="2:17" x14ac:dyDescent="0.3">
      <c r="B31" s="15" t="s">
        <v>35</v>
      </c>
      <c r="C31" s="25" t="s">
        <v>36</v>
      </c>
      <c r="D31" s="2">
        <v>6.98</v>
      </c>
      <c r="E31" s="16" t="s">
        <v>38</v>
      </c>
      <c r="F31" s="2"/>
      <c r="L31" s="3">
        <v>3</v>
      </c>
      <c r="M31" s="18" t="s">
        <v>114</v>
      </c>
      <c r="N31" s="18" t="s">
        <v>129</v>
      </c>
      <c r="O31" s="18">
        <v>10</v>
      </c>
      <c r="P31" s="18" t="s">
        <v>115</v>
      </c>
      <c r="Q31" s="2"/>
    </row>
    <row r="32" spans="2:17" x14ac:dyDescent="0.3">
      <c r="B32" s="15" t="s">
        <v>39</v>
      </c>
      <c r="C32" s="2" t="s">
        <v>107</v>
      </c>
      <c r="D32" s="2">
        <f>(D31*10^3)/(D30*10^6)</f>
        <v>2.3266666666666666E-3</v>
      </c>
      <c r="E32" s="2"/>
      <c r="F32" s="2" t="s">
        <v>55</v>
      </c>
      <c r="L32" s="3">
        <v>4</v>
      </c>
      <c r="M32" s="18" t="s">
        <v>116</v>
      </c>
      <c r="N32" s="18" t="s">
        <v>130</v>
      </c>
      <c r="O32" s="18">
        <v>14</v>
      </c>
      <c r="P32" s="18" t="s">
        <v>115</v>
      </c>
      <c r="Q32" s="2" t="s">
        <v>136</v>
      </c>
    </row>
    <row r="33" spans="2:24" x14ac:dyDescent="0.3">
      <c r="B33" s="15" t="s">
        <v>44</v>
      </c>
      <c r="C33" s="25" t="s">
        <v>43</v>
      </c>
      <c r="D33" s="2">
        <v>1.65</v>
      </c>
      <c r="E33" s="2" t="s">
        <v>32</v>
      </c>
      <c r="F33" s="2" t="s">
        <v>57</v>
      </c>
      <c r="L33" s="3">
        <v>5</v>
      </c>
      <c r="M33" s="18" t="s">
        <v>117</v>
      </c>
      <c r="N33" s="18" t="s">
        <v>134</v>
      </c>
      <c r="O33" s="18">
        <f>O30/(O32)</f>
        <v>46.062956031580811</v>
      </c>
      <c r="P33" s="43" t="s">
        <v>38</v>
      </c>
      <c r="Q33" s="2" t="s">
        <v>135</v>
      </c>
    </row>
    <row r="34" spans="2:24" x14ac:dyDescent="0.3">
      <c r="B34" s="13" t="s">
        <v>11</v>
      </c>
      <c r="C34" s="2" t="s">
        <v>48</v>
      </c>
      <c r="D34" s="2">
        <f>D28*D32+D33</f>
        <v>2.9003533509461326</v>
      </c>
      <c r="E34" s="2" t="s">
        <v>32</v>
      </c>
      <c r="F34" s="2" t="s">
        <v>108</v>
      </c>
      <c r="L34" s="3">
        <v>6</v>
      </c>
      <c r="M34" s="18" t="s">
        <v>118</v>
      </c>
      <c r="N34" s="18" t="s">
        <v>142</v>
      </c>
      <c r="O34" s="18">
        <f>(O31*10^-3)^2*O33*10^3</f>
        <v>4.6062956031580811</v>
      </c>
      <c r="P34" s="43" t="s">
        <v>119</v>
      </c>
      <c r="Q34" s="2" t="s">
        <v>137</v>
      </c>
    </row>
    <row r="35" spans="2:24" x14ac:dyDescent="0.3">
      <c r="B35" s="13"/>
      <c r="C35" s="2" t="s">
        <v>49</v>
      </c>
      <c r="D35" s="2">
        <f>-D28*D32+D33</f>
        <v>0.39964664905386749</v>
      </c>
      <c r="E35" s="2" t="s">
        <v>32</v>
      </c>
      <c r="F35" s="2" t="s">
        <v>109</v>
      </c>
      <c r="L35" s="3">
        <v>7</v>
      </c>
      <c r="M35" s="18" t="s">
        <v>120</v>
      </c>
      <c r="N35" s="18" t="s">
        <v>139</v>
      </c>
      <c r="O35" s="18">
        <f>O33/2</f>
        <v>23.031478015790405</v>
      </c>
      <c r="P35" s="43" t="s">
        <v>38</v>
      </c>
      <c r="Q35" s="2" t="s">
        <v>138</v>
      </c>
    </row>
    <row r="36" spans="2:24" x14ac:dyDescent="0.3">
      <c r="B36" s="20" t="s">
        <v>61</v>
      </c>
      <c r="C36" s="18" t="s">
        <v>62</v>
      </c>
      <c r="D36" s="2">
        <f>D29*D32+D33</f>
        <v>3.1504240211353585</v>
      </c>
      <c r="E36" s="18" t="s">
        <v>32</v>
      </c>
      <c r="F36" s="2" t="s">
        <v>64</v>
      </c>
      <c r="L36" s="3">
        <v>8</v>
      </c>
      <c r="M36" s="18" t="s">
        <v>121</v>
      </c>
      <c r="N36" s="18" t="s">
        <v>141</v>
      </c>
      <c r="O36" s="18">
        <v>24</v>
      </c>
      <c r="P36" s="18" t="s">
        <v>122</v>
      </c>
      <c r="Q36" s="2"/>
    </row>
    <row r="37" spans="2:24" x14ac:dyDescent="0.3">
      <c r="B37" s="21"/>
      <c r="C37" s="18" t="s">
        <v>63</v>
      </c>
      <c r="D37" s="2">
        <f>-D29*D32+D33</f>
        <v>0.14957597886464113</v>
      </c>
      <c r="E37" s="18" t="s">
        <v>32</v>
      </c>
      <c r="F37" s="2" t="s">
        <v>65</v>
      </c>
      <c r="L37" s="3">
        <v>9</v>
      </c>
      <c r="M37" s="18" t="s">
        <v>123</v>
      </c>
      <c r="N37" s="18" t="s">
        <v>144</v>
      </c>
      <c r="O37" s="18">
        <v>1</v>
      </c>
      <c r="P37" s="18" t="s">
        <v>119</v>
      </c>
      <c r="Q37" s="2" t="s">
        <v>148</v>
      </c>
    </row>
    <row r="38" spans="2:24" x14ac:dyDescent="0.3">
      <c r="B38" s="22" t="s">
        <v>66</v>
      </c>
      <c r="L38" s="3">
        <v>10</v>
      </c>
      <c r="M38" s="18" t="s">
        <v>124</v>
      </c>
      <c r="N38" s="18" t="s">
        <v>143</v>
      </c>
      <c r="O38" s="18">
        <f>O36*O37</f>
        <v>24</v>
      </c>
      <c r="P38" s="18" t="s">
        <v>119</v>
      </c>
      <c r="Q38" s="2" t="s">
        <v>149</v>
      </c>
      <c r="R38" s="17" t="s">
        <v>140</v>
      </c>
    </row>
    <row r="39" spans="2:24" x14ac:dyDescent="0.3">
      <c r="L39" s="3">
        <v>11</v>
      </c>
      <c r="M39" s="18" t="s">
        <v>146</v>
      </c>
      <c r="N39" s="18"/>
      <c r="O39" s="18">
        <f>O35/12</f>
        <v>1.9192898346492004</v>
      </c>
      <c r="P39" s="43" t="s">
        <v>38</v>
      </c>
      <c r="Q39" s="2" t="s">
        <v>160</v>
      </c>
      <c r="S39" s="6" t="s">
        <v>202</v>
      </c>
      <c r="T39" s="7"/>
      <c r="U39" s="7"/>
      <c r="V39" s="7"/>
      <c r="W39" s="7"/>
      <c r="X39" s="8"/>
    </row>
    <row r="40" spans="2:24" x14ac:dyDescent="0.3">
      <c r="B40" s="9" t="s">
        <v>67</v>
      </c>
      <c r="L40" s="3">
        <v>12</v>
      </c>
      <c r="M40" s="18" t="s">
        <v>147</v>
      </c>
      <c r="N40" s="18" t="s">
        <v>161</v>
      </c>
      <c r="O40" s="18">
        <v>2</v>
      </c>
      <c r="P40" s="43" t="s">
        <v>38</v>
      </c>
      <c r="Q40" s="45" t="s">
        <v>159</v>
      </c>
      <c r="S40" s="73" t="s">
        <v>200</v>
      </c>
      <c r="T40" s="55"/>
      <c r="U40" s="55"/>
      <c r="V40" s="55"/>
      <c r="W40" s="55"/>
      <c r="X40" s="74"/>
    </row>
    <row r="41" spans="2:24" x14ac:dyDescent="0.3">
      <c r="B41" s="3" t="s">
        <v>50</v>
      </c>
      <c r="C41" s="3" t="s">
        <v>51</v>
      </c>
      <c r="D41" s="3" t="s">
        <v>52</v>
      </c>
      <c r="E41" s="3" t="s">
        <v>53</v>
      </c>
      <c r="F41" s="3" t="s">
        <v>56</v>
      </c>
      <c r="L41" s="3">
        <v>13</v>
      </c>
      <c r="M41" s="18" t="s">
        <v>150</v>
      </c>
      <c r="N41" s="18" t="s">
        <v>163</v>
      </c>
      <c r="O41" s="18">
        <f>O30/(O40*O36)</f>
        <v>13.435028842544403</v>
      </c>
      <c r="P41" s="43" t="s">
        <v>115</v>
      </c>
      <c r="Q41" s="2" t="s">
        <v>162</v>
      </c>
      <c r="S41" s="75" t="s">
        <v>199</v>
      </c>
      <c r="T41" s="56"/>
      <c r="U41" s="56"/>
      <c r="V41" s="56"/>
      <c r="W41" s="56"/>
      <c r="X41" s="76"/>
    </row>
    <row r="42" spans="2:24" x14ac:dyDescent="0.3">
      <c r="B42" s="2" t="s">
        <v>68</v>
      </c>
      <c r="C42" s="2" t="s">
        <v>69</v>
      </c>
      <c r="D42" s="2">
        <f>1/(2*PI()*D43*10^3*D44*10^-6)</f>
        <v>4822.8770633907679</v>
      </c>
      <c r="E42" s="16" t="s">
        <v>79</v>
      </c>
      <c r="F42" s="16" t="s">
        <v>94</v>
      </c>
      <c r="L42" s="3">
        <v>14</v>
      </c>
      <c r="M42" s="18" t="s">
        <v>151</v>
      </c>
      <c r="N42" s="18" t="s">
        <v>164</v>
      </c>
      <c r="O42" s="18">
        <f>(O41*10^-3)^2*O40</f>
        <v>3.6100000000000005E-4</v>
      </c>
      <c r="P42" s="43" t="s">
        <v>119</v>
      </c>
      <c r="Q42" s="44" t="s">
        <v>158</v>
      </c>
      <c r="S42" s="75" t="s">
        <v>198</v>
      </c>
      <c r="T42" s="56"/>
      <c r="U42" s="56"/>
      <c r="V42" s="56"/>
      <c r="W42" s="56"/>
      <c r="X42" s="76"/>
    </row>
    <row r="43" spans="2:24" x14ac:dyDescent="0.3">
      <c r="B43" s="2" t="s">
        <v>70</v>
      </c>
      <c r="C43" s="25" t="s">
        <v>89</v>
      </c>
      <c r="D43" s="2">
        <v>33</v>
      </c>
      <c r="E43" s="2" t="s">
        <v>38</v>
      </c>
      <c r="F43" s="2"/>
      <c r="L43" s="3">
        <v>15</v>
      </c>
      <c r="M43" s="18" t="s">
        <v>125</v>
      </c>
      <c r="N43" s="18" t="s">
        <v>165</v>
      </c>
      <c r="O43" s="18">
        <f>O41*2.5</f>
        <v>33.587572106361009</v>
      </c>
      <c r="P43" s="18" t="s">
        <v>115</v>
      </c>
      <c r="Q43" s="2" t="s">
        <v>171</v>
      </c>
      <c r="S43" s="75" t="s">
        <v>197</v>
      </c>
      <c r="T43" s="56"/>
      <c r="U43" s="56"/>
      <c r="V43" s="56"/>
      <c r="W43" s="56"/>
      <c r="X43" s="76"/>
    </row>
    <row r="44" spans="2:24" x14ac:dyDescent="0.3">
      <c r="B44" s="2" t="s">
        <v>71</v>
      </c>
      <c r="C44" s="2" t="s">
        <v>90</v>
      </c>
      <c r="D44" s="2">
        <v>1E-3</v>
      </c>
      <c r="E44" s="2" t="s">
        <v>78</v>
      </c>
      <c r="F44" s="2"/>
      <c r="L44" s="3">
        <v>16</v>
      </c>
      <c r="M44" s="2" t="s">
        <v>126</v>
      </c>
      <c r="N44" s="25" t="s">
        <v>167</v>
      </c>
      <c r="O44" s="2">
        <v>3.3</v>
      </c>
      <c r="P44" s="16" t="s">
        <v>32</v>
      </c>
      <c r="Q44" s="16" t="s">
        <v>293</v>
      </c>
      <c r="S44" s="75"/>
      <c r="T44" s="56"/>
      <c r="U44" s="56"/>
      <c r="V44" s="56"/>
      <c r="W44" s="56"/>
      <c r="X44" s="76"/>
    </row>
    <row r="45" spans="2:24" x14ac:dyDescent="0.3">
      <c r="B45" s="2" t="s">
        <v>73</v>
      </c>
      <c r="C45" s="25" t="s">
        <v>74</v>
      </c>
      <c r="D45" s="2">
        <v>0</v>
      </c>
      <c r="E45" s="2" t="s">
        <v>38</v>
      </c>
      <c r="F45" s="2"/>
      <c r="L45" s="3">
        <v>17</v>
      </c>
      <c r="M45" s="2" t="s">
        <v>152</v>
      </c>
      <c r="N45" s="2" t="s">
        <v>168</v>
      </c>
      <c r="O45" s="2">
        <f>O44/(O43*10^-3)</f>
        <v>98.250626438551862</v>
      </c>
      <c r="P45" s="27" t="s">
        <v>92</v>
      </c>
      <c r="Q45" s="2" t="s">
        <v>172</v>
      </c>
      <c r="S45" s="75" t="s">
        <v>201</v>
      </c>
      <c r="T45" s="56"/>
      <c r="U45" s="56"/>
      <c r="V45" s="56"/>
      <c r="W45" s="56"/>
      <c r="X45" s="76"/>
    </row>
    <row r="46" spans="2:24" x14ac:dyDescent="0.3">
      <c r="B46" s="2" t="s">
        <v>75</v>
      </c>
      <c r="C46" s="2" t="s">
        <v>76</v>
      </c>
      <c r="D46" s="2">
        <v>10</v>
      </c>
      <c r="E46" s="2" t="s">
        <v>38</v>
      </c>
      <c r="F46" s="2" t="s">
        <v>91</v>
      </c>
      <c r="L46" s="3">
        <v>18</v>
      </c>
      <c r="M46" s="2" t="s">
        <v>153</v>
      </c>
      <c r="N46" s="2" t="s">
        <v>169</v>
      </c>
      <c r="O46" s="2">
        <f>196/2</f>
        <v>98</v>
      </c>
      <c r="P46" s="27" t="s">
        <v>92</v>
      </c>
      <c r="Q46" s="2" t="s">
        <v>156</v>
      </c>
      <c r="S46" s="75"/>
      <c r="T46" s="56" t="s">
        <v>203</v>
      </c>
      <c r="U46" s="56"/>
      <c r="V46" s="56"/>
      <c r="W46" s="56"/>
      <c r="X46" s="76"/>
    </row>
    <row r="47" spans="2:24" x14ac:dyDescent="0.3">
      <c r="B47" s="2" t="s">
        <v>77</v>
      </c>
      <c r="C47" s="2" t="s">
        <v>40</v>
      </c>
      <c r="D47" s="2">
        <f>(1+D45/D46)</f>
        <v>1</v>
      </c>
      <c r="E47" s="2"/>
      <c r="F47" s="2" t="s">
        <v>80</v>
      </c>
      <c r="L47" s="3">
        <v>19</v>
      </c>
      <c r="M47" s="2" t="s">
        <v>154</v>
      </c>
      <c r="N47" s="2" t="s">
        <v>170</v>
      </c>
      <c r="O47" s="2">
        <f>(O43*10^-3)^2*O46</f>
        <v>0.11055624999999999</v>
      </c>
      <c r="P47" s="27" t="s">
        <v>119</v>
      </c>
      <c r="Q47" s="2" t="s">
        <v>174</v>
      </c>
      <c r="S47" s="75"/>
      <c r="T47" s="56" t="s">
        <v>204</v>
      </c>
      <c r="U47" s="56"/>
      <c r="V47" s="56"/>
      <c r="W47" s="56"/>
      <c r="X47" s="76"/>
    </row>
    <row r="48" spans="2:24" x14ac:dyDescent="0.3">
      <c r="B48" s="13" t="s">
        <v>81</v>
      </c>
      <c r="C48" s="2" t="s">
        <v>82</v>
      </c>
      <c r="D48" s="2">
        <f>D47*D34</f>
        <v>2.9003533509461326</v>
      </c>
      <c r="E48" s="2" t="s">
        <v>32</v>
      </c>
      <c r="F48" s="2" t="s">
        <v>84</v>
      </c>
      <c r="L48" s="3">
        <v>20</v>
      </c>
      <c r="M48" s="41" t="s">
        <v>155</v>
      </c>
      <c r="N48" s="41" t="s">
        <v>166</v>
      </c>
      <c r="O48" s="41">
        <f>O46*O43*10^-3</f>
        <v>3.2915820664233788</v>
      </c>
      <c r="P48" s="42" t="s">
        <v>32</v>
      </c>
      <c r="Q48" s="44" t="s">
        <v>157</v>
      </c>
      <c r="S48" s="77" t="s">
        <v>205</v>
      </c>
      <c r="T48" s="61"/>
      <c r="U48" s="61"/>
      <c r="V48" s="61"/>
      <c r="W48" s="61"/>
      <c r="X48" s="62"/>
    </row>
    <row r="49" spans="2:20" x14ac:dyDescent="0.3">
      <c r="B49" s="13"/>
      <c r="C49" s="2" t="s">
        <v>83</v>
      </c>
      <c r="D49" s="2">
        <f>D47*D35</f>
        <v>0.39964664905386749</v>
      </c>
      <c r="E49" s="2" t="s">
        <v>32</v>
      </c>
      <c r="F49" s="2" t="s">
        <v>85</v>
      </c>
      <c r="L49" s="78" t="s">
        <v>207</v>
      </c>
      <c r="M49" s="79"/>
      <c r="N49" s="79"/>
      <c r="O49" s="79"/>
      <c r="P49" s="80"/>
      <c r="Q49" s="81"/>
      <c r="T49">
        <f>O48*O36*O40*10^3 / (1.2*SQRT(2)*2.5*O46)</f>
        <v>380</v>
      </c>
    </row>
    <row r="50" spans="2:20" x14ac:dyDescent="0.3">
      <c r="B50" s="24" t="s">
        <v>86</v>
      </c>
      <c r="L50" s="82" t="s">
        <v>206</v>
      </c>
      <c r="M50" s="83"/>
      <c r="N50" s="83"/>
      <c r="O50" s="83"/>
      <c r="P50" s="84"/>
      <c r="Q50" s="85"/>
      <c r="R50" s="48"/>
    </row>
    <row r="51" spans="2:20" x14ac:dyDescent="0.3">
      <c r="R51" s="49" t="s">
        <v>32</v>
      </c>
    </row>
    <row r="52" spans="2:20" x14ac:dyDescent="0.3">
      <c r="B52" s="9" t="s">
        <v>87</v>
      </c>
      <c r="L52" s="47" t="s">
        <v>175</v>
      </c>
      <c r="M52" s="47">
        <v>1.65</v>
      </c>
      <c r="N52" s="48" t="s">
        <v>32</v>
      </c>
      <c r="O52" s="46" t="s">
        <v>176</v>
      </c>
      <c r="P52" s="48">
        <v>3.3</v>
      </c>
      <c r="Q52" s="48" t="s">
        <v>32</v>
      </c>
      <c r="R52" s="49" t="s">
        <v>32</v>
      </c>
    </row>
    <row r="53" spans="2:20" x14ac:dyDescent="0.3">
      <c r="B53" s="3" t="s">
        <v>50</v>
      </c>
      <c r="C53" s="3" t="s">
        <v>51</v>
      </c>
      <c r="D53" s="3" t="s">
        <v>52</v>
      </c>
      <c r="E53" s="3" t="s">
        <v>53</v>
      </c>
      <c r="F53" s="3" t="s">
        <v>56</v>
      </c>
      <c r="L53" s="47" t="s">
        <v>177</v>
      </c>
      <c r="M53" s="47">
        <f>-O48</f>
        <v>-3.2915820664233788</v>
      </c>
      <c r="N53" s="49" t="s">
        <v>32</v>
      </c>
      <c r="O53" s="50" t="s">
        <v>178</v>
      </c>
      <c r="P53" s="50" t="s">
        <v>179</v>
      </c>
      <c r="Q53" s="47">
        <f>M9</f>
        <v>0</v>
      </c>
      <c r="R53" s="46"/>
    </row>
    <row r="54" spans="2:20" x14ac:dyDescent="0.3">
      <c r="B54" s="2" t="s">
        <v>68</v>
      </c>
      <c r="C54" s="2" t="s">
        <v>69</v>
      </c>
      <c r="D54" s="14">
        <f>1/(2*PI()*D55*D56*10^-6)</f>
        <v>723.43155950861512</v>
      </c>
      <c r="E54" s="2" t="s">
        <v>93</v>
      </c>
      <c r="F54" s="2" t="s">
        <v>95</v>
      </c>
      <c r="L54" s="47" t="s">
        <v>180</v>
      </c>
      <c r="M54" s="47">
        <f>O48</f>
        <v>3.2915820664233788</v>
      </c>
      <c r="N54" s="49" t="s">
        <v>32</v>
      </c>
      <c r="O54" s="50" t="s">
        <v>178</v>
      </c>
      <c r="P54" s="50" t="s">
        <v>181</v>
      </c>
      <c r="Q54" s="47">
        <v>3.3</v>
      </c>
      <c r="R54" s="46"/>
    </row>
    <row r="55" spans="2:20" x14ac:dyDescent="0.3">
      <c r="B55" s="2" t="s">
        <v>70</v>
      </c>
      <c r="C55" s="2" t="s">
        <v>89</v>
      </c>
      <c r="D55" s="2">
        <v>2200</v>
      </c>
      <c r="E55" s="27" t="s">
        <v>92</v>
      </c>
      <c r="F55" s="2"/>
      <c r="L55" s="46" t="s">
        <v>182</v>
      </c>
      <c r="M55" s="51">
        <f>(Q54-Q53)/(M54-M53)</f>
        <v>0.50127870631914218</v>
      </c>
      <c r="N55" s="46"/>
      <c r="O55" s="50" t="s">
        <v>183</v>
      </c>
      <c r="P55" s="52">
        <f>(Q53-M55*M53)</f>
        <v>1.6500000000000001</v>
      </c>
      <c r="Q55" s="46"/>
      <c r="R55" s="11"/>
    </row>
    <row r="56" spans="2:20" x14ac:dyDescent="0.3">
      <c r="B56" s="2" t="s">
        <v>71</v>
      </c>
      <c r="C56" s="2" t="s">
        <v>90</v>
      </c>
      <c r="D56" s="2">
        <v>0.1</v>
      </c>
      <c r="E56" s="2" t="s">
        <v>78</v>
      </c>
      <c r="F56" s="2"/>
      <c r="L56" s="54" t="s">
        <v>184</v>
      </c>
      <c r="M56" s="54"/>
      <c r="N56" s="54"/>
      <c r="O56" s="53" t="s">
        <v>185</v>
      </c>
      <c r="P56" s="53"/>
      <c r="Q56" s="53"/>
      <c r="R56" s="11"/>
    </row>
    <row r="57" spans="2:20" x14ac:dyDescent="0.3">
      <c r="B57" s="24" t="s">
        <v>86</v>
      </c>
      <c r="L57" s="2" t="s">
        <v>186</v>
      </c>
      <c r="M57" s="18">
        <f>M52</f>
        <v>1.65</v>
      </c>
      <c r="N57" s="18" t="s">
        <v>32</v>
      </c>
      <c r="O57" s="18" t="s">
        <v>186</v>
      </c>
      <c r="P57" s="18">
        <v>1.65</v>
      </c>
      <c r="Q57" s="2" t="s">
        <v>32</v>
      </c>
      <c r="R57" s="11"/>
    </row>
    <row r="58" spans="2:20" x14ac:dyDescent="0.3">
      <c r="L58" s="25" t="s">
        <v>187</v>
      </c>
      <c r="M58" s="18">
        <v>20</v>
      </c>
      <c r="N58" s="43" t="s">
        <v>38</v>
      </c>
      <c r="O58" s="18" t="s">
        <v>187</v>
      </c>
      <c r="P58" s="18">
        <v>20</v>
      </c>
      <c r="Q58" s="16" t="s">
        <v>38</v>
      </c>
      <c r="R58" s="11"/>
    </row>
    <row r="59" spans="2:20" ht="17.25" thickBot="1" x14ac:dyDescent="0.35">
      <c r="B59" s="9" t="s">
        <v>111</v>
      </c>
      <c r="L59" s="2" t="s">
        <v>188</v>
      </c>
      <c r="M59" s="18">
        <f>(M57*M55*M58)/P55</f>
        <v>10.025574126382843</v>
      </c>
      <c r="N59" s="43" t="s">
        <v>38</v>
      </c>
      <c r="O59" s="18" t="s">
        <v>188</v>
      </c>
      <c r="P59" s="18">
        <v>10</v>
      </c>
      <c r="Q59" s="16" t="s">
        <v>38</v>
      </c>
      <c r="R59" s="11"/>
    </row>
    <row r="60" spans="2:20" x14ac:dyDescent="0.3">
      <c r="B60" s="30" t="s">
        <v>100</v>
      </c>
      <c r="C60" s="31"/>
      <c r="D60" s="31"/>
      <c r="E60" s="31"/>
      <c r="F60" s="32"/>
      <c r="L60" s="25" t="s">
        <v>76</v>
      </c>
      <c r="M60" s="18">
        <v>100</v>
      </c>
      <c r="N60" s="43" t="s">
        <v>38</v>
      </c>
      <c r="O60" s="18" t="s">
        <v>76</v>
      </c>
      <c r="P60" s="18">
        <v>100</v>
      </c>
      <c r="Q60" s="16" t="s">
        <v>38</v>
      </c>
    </row>
    <row r="61" spans="2:20" x14ac:dyDescent="0.3">
      <c r="B61" s="33" t="s">
        <v>110</v>
      </c>
      <c r="F61" s="34"/>
      <c r="L61" s="2" t="s">
        <v>74</v>
      </c>
      <c r="M61" s="2">
        <f>M60*(M55*(M58+M59)/M59-1)</f>
        <v>50.127870631914242</v>
      </c>
      <c r="N61" s="16" t="s">
        <v>38</v>
      </c>
      <c r="O61" s="2" t="s">
        <v>74</v>
      </c>
      <c r="P61" s="2">
        <v>49.9</v>
      </c>
      <c r="Q61" s="16" t="s">
        <v>38</v>
      </c>
    </row>
    <row r="62" spans="2:20" x14ac:dyDescent="0.3">
      <c r="B62" s="33" t="s">
        <v>101</v>
      </c>
      <c r="F62" s="34"/>
      <c r="L62" s="2" t="s">
        <v>189</v>
      </c>
      <c r="M62" s="2">
        <f>((M59/(M58+M59)*((M61+M60)/M60)))</f>
        <v>0.50127870631914218</v>
      </c>
      <c r="N62" s="2"/>
      <c r="O62" s="2" t="s">
        <v>189</v>
      </c>
      <c r="P62" s="2">
        <f>((P59/(P58+P59)*((P61+P60)/P60)))</f>
        <v>0.4996666666666667</v>
      </c>
      <c r="Q62" s="2"/>
    </row>
    <row r="63" spans="2:20" x14ac:dyDescent="0.3">
      <c r="B63" s="33" t="s">
        <v>102</v>
      </c>
      <c r="F63" s="34"/>
      <c r="L63" s="58" t="s">
        <v>190</v>
      </c>
      <c r="M63" s="58">
        <f>M57*(M58/(M58+M59))*((M61+M60)/M60)</f>
        <v>1.6500000000000004</v>
      </c>
      <c r="N63" s="58"/>
      <c r="O63" s="58" t="s">
        <v>190</v>
      </c>
      <c r="P63" s="58">
        <f>P57*(P58/(P58+P59))*((P61+P60)/P60)</f>
        <v>1.6489</v>
      </c>
      <c r="Q63" s="58"/>
      <c r="R63" s="70">
        <f>1/M65</f>
        <v>2.0013342228152098</v>
      </c>
    </row>
    <row r="64" spans="2:20" x14ac:dyDescent="0.3">
      <c r="B64" s="35" t="s">
        <v>103</v>
      </c>
      <c r="F64" s="34"/>
      <c r="L64" s="67" t="s">
        <v>194</v>
      </c>
      <c r="M64" s="68"/>
      <c r="N64" s="68"/>
      <c r="O64" s="68"/>
      <c r="P64" s="68"/>
      <c r="Q64" s="69"/>
    </row>
    <row r="65" spans="2:17" x14ac:dyDescent="0.3">
      <c r="B65" s="36" t="s">
        <v>104</v>
      </c>
      <c r="C65" s="3" t="s">
        <v>41</v>
      </c>
      <c r="D65" s="3" t="s">
        <v>105</v>
      </c>
      <c r="E65" s="15" t="s">
        <v>106</v>
      </c>
      <c r="F65" s="34"/>
      <c r="L65" s="63" t="s">
        <v>191</v>
      </c>
      <c r="M65" s="64">
        <f>P62</f>
        <v>0.4996666666666667</v>
      </c>
      <c r="N65" s="64" t="s">
        <v>192</v>
      </c>
      <c r="O65" s="65" t="s">
        <v>42</v>
      </c>
      <c r="P65" s="65" t="s">
        <v>193</v>
      </c>
      <c r="Q65" s="66">
        <f>M63</f>
        <v>1.6500000000000004</v>
      </c>
    </row>
    <row r="66" spans="2:17" ht="17.25" thickBot="1" x14ac:dyDescent="0.35">
      <c r="B66" s="37">
        <v>380</v>
      </c>
      <c r="C66" s="38">
        <f>B66*0.00232667+1.65</f>
        <v>2.5341345999999998</v>
      </c>
      <c r="D66" s="39">
        <f>C66/3.3*2^12</f>
        <v>3145.3985823030303</v>
      </c>
      <c r="E66" s="38">
        <f>(D66/2^12*3.3-1.65)/0.00232667</f>
        <v>379.99999999999994</v>
      </c>
      <c r="F66" s="40"/>
    </row>
    <row r="67" spans="2:17" x14ac:dyDescent="0.3">
      <c r="L67" s="9" t="s">
        <v>67</v>
      </c>
    </row>
    <row r="68" spans="2:17" x14ac:dyDescent="0.3">
      <c r="L68" t="s">
        <v>195</v>
      </c>
    </row>
    <row r="70" spans="2:17" x14ac:dyDescent="0.3">
      <c r="L70" s="9" t="s">
        <v>87</v>
      </c>
    </row>
    <row r="71" spans="2:17" x14ac:dyDescent="0.3">
      <c r="L71" t="s">
        <v>195</v>
      </c>
    </row>
    <row r="73" spans="2:17" ht="17.25" thickBot="1" x14ac:dyDescent="0.35">
      <c r="L73" s="9" t="s">
        <v>111</v>
      </c>
    </row>
    <row r="74" spans="2:17" x14ac:dyDescent="0.3">
      <c r="L74" s="30" t="s">
        <v>100</v>
      </c>
      <c r="M74" s="31"/>
      <c r="N74" s="31"/>
      <c r="O74" s="31"/>
      <c r="P74" s="31"/>
      <c r="Q74" s="32"/>
    </row>
    <row r="75" spans="2:17" x14ac:dyDescent="0.3">
      <c r="L75" s="33" t="s">
        <v>196</v>
      </c>
      <c r="M75" s="56"/>
      <c r="N75" s="56"/>
      <c r="O75" s="56"/>
      <c r="P75" s="56"/>
      <c r="Q75" s="34"/>
    </row>
    <row r="76" spans="2:17" x14ac:dyDescent="0.3">
      <c r="L76" s="33" t="s">
        <v>209</v>
      </c>
      <c r="M76" s="56"/>
      <c r="N76" s="56"/>
      <c r="O76" s="56"/>
      <c r="P76" s="56"/>
      <c r="Q76" s="34"/>
    </row>
    <row r="77" spans="2:17" x14ac:dyDescent="0.3">
      <c r="L77" s="33" t="s">
        <v>102</v>
      </c>
      <c r="M77" s="56"/>
      <c r="N77" s="56"/>
      <c r="O77" s="56"/>
      <c r="P77" s="56"/>
      <c r="Q77" s="34"/>
    </row>
    <row r="78" spans="2:17" x14ac:dyDescent="0.3">
      <c r="L78" s="86" t="s">
        <v>212</v>
      </c>
      <c r="M78" s="56"/>
      <c r="N78" s="56"/>
      <c r="O78" s="56"/>
      <c r="P78" s="56"/>
      <c r="Q78" s="34"/>
    </row>
    <row r="79" spans="2:17" x14ac:dyDescent="0.3">
      <c r="L79" s="87" t="s">
        <v>208</v>
      </c>
      <c r="M79" s="56"/>
      <c r="N79" s="56"/>
      <c r="O79" s="56"/>
      <c r="P79" s="56"/>
      <c r="Q79" s="34"/>
    </row>
    <row r="80" spans="2:17" x14ac:dyDescent="0.3">
      <c r="L80" s="87" t="s">
        <v>210</v>
      </c>
      <c r="M80" s="56"/>
      <c r="N80" s="56"/>
      <c r="O80" s="56"/>
      <c r="P80" s="56"/>
      <c r="Q80" s="34"/>
    </row>
    <row r="81" spans="12:17" x14ac:dyDescent="0.3">
      <c r="L81" s="33">
        <f>(((4096/2^12)*3.3-1.65)/0.499666667) *O36*O40*10^3/(1.2*SQRT(2)*2.5*O46)</f>
        <v>381.22596719319284</v>
      </c>
      <c r="M81" s="56" t="s">
        <v>214</v>
      </c>
      <c r="N81" s="56"/>
      <c r="O81" s="56"/>
      <c r="P81" s="34" t="s">
        <v>215</v>
      </c>
      <c r="Q81" s="34"/>
    </row>
    <row r="82" spans="12:17" x14ac:dyDescent="0.3">
      <c r="L82" s="88" t="s">
        <v>213</v>
      </c>
      <c r="M82" s="56"/>
      <c r="N82" s="56"/>
      <c r="O82" s="56"/>
      <c r="P82" s="56"/>
      <c r="Q82" s="34"/>
    </row>
    <row r="83" spans="12:17" ht="17.25" thickBot="1" x14ac:dyDescent="0.35">
      <c r="L83" s="89" t="s">
        <v>211</v>
      </c>
      <c r="M83" s="90"/>
      <c r="N83" s="90"/>
      <c r="O83" s="90"/>
      <c r="P83" s="90"/>
      <c r="Q83" s="40"/>
    </row>
    <row r="84" spans="12:17" x14ac:dyDescent="0.3">
      <c r="L84" s="56"/>
      <c r="M84" s="56"/>
      <c r="N84" s="56"/>
      <c r="O84" s="56"/>
      <c r="P84" s="56"/>
    </row>
  </sheetData>
  <mergeCells count="10">
    <mergeCell ref="L56:N56"/>
    <mergeCell ref="O56:Q56"/>
    <mergeCell ref="L64:Q64"/>
    <mergeCell ref="S39:X39"/>
    <mergeCell ref="B27:B28"/>
    <mergeCell ref="B34:B35"/>
    <mergeCell ref="B36:B37"/>
    <mergeCell ref="B48:B49"/>
    <mergeCell ref="L26:P26"/>
    <mergeCell ref="L27:P27"/>
  </mergeCells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674116-1EF0-40C7-AC55-0432DFB1FC80}">
  <dimension ref="A1:Q117"/>
  <sheetViews>
    <sheetView topLeftCell="A33" zoomScaleNormal="100" workbookViewId="0">
      <selection activeCell="P45" sqref="P45"/>
    </sheetView>
  </sheetViews>
  <sheetFormatPr defaultRowHeight="16.5" x14ac:dyDescent="0.3"/>
  <cols>
    <col min="3" max="3" width="20" customWidth="1"/>
    <col min="4" max="4" width="17.25" customWidth="1"/>
    <col min="5" max="5" width="18.375" customWidth="1"/>
    <col min="6" max="6" width="11.25" customWidth="1"/>
    <col min="7" max="7" width="25" customWidth="1"/>
    <col min="11" max="11" width="12.75" customWidth="1"/>
    <col min="12" max="12" width="22.75" customWidth="1"/>
    <col min="16" max="16" width="22.375" customWidth="1"/>
  </cols>
  <sheetData>
    <row r="1" spans="1:11" ht="17.25" x14ac:dyDescent="0.3">
      <c r="A1" s="28" t="s">
        <v>216</v>
      </c>
    </row>
    <row r="2" spans="1:11" ht="17.25" x14ac:dyDescent="0.3">
      <c r="A2" s="29" t="s">
        <v>217</v>
      </c>
    </row>
    <row r="4" spans="1:11" x14ac:dyDescent="0.3">
      <c r="A4" s="9" t="s">
        <v>218</v>
      </c>
      <c r="K4" s="9" t="s">
        <v>274</v>
      </c>
    </row>
    <row r="24" spans="2:16" x14ac:dyDescent="0.3">
      <c r="B24" s="9" t="s">
        <v>99</v>
      </c>
      <c r="G24" s="26" t="s">
        <v>88</v>
      </c>
      <c r="K24" s="9" t="s">
        <v>99</v>
      </c>
      <c r="P24" s="26" t="s">
        <v>88</v>
      </c>
    </row>
    <row r="25" spans="2:16" x14ac:dyDescent="0.3">
      <c r="B25" s="5" t="s">
        <v>290</v>
      </c>
      <c r="C25" s="5"/>
      <c r="D25" s="5"/>
      <c r="E25" s="5"/>
      <c r="F25" s="5"/>
      <c r="G25" s="2"/>
      <c r="K25" s="5" t="s">
        <v>290</v>
      </c>
      <c r="L25" s="5"/>
      <c r="M25" s="5"/>
      <c r="N25" s="5"/>
      <c r="O25" s="5"/>
      <c r="P25" s="2"/>
    </row>
    <row r="26" spans="2:16" x14ac:dyDescent="0.3">
      <c r="B26" s="5" t="s">
        <v>219</v>
      </c>
      <c r="C26" s="5"/>
      <c r="D26" s="5"/>
      <c r="E26" s="5"/>
      <c r="F26" s="5"/>
      <c r="G26" s="2"/>
      <c r="K26" s="5" t="s">
        <v>291</v>
      </c>
      <c r="L26" s="5"/>
      <c r="M26" s="5"/>
      <c r="N26" s="5"/>
      <c r="O26" s="5"/>
      <c r="P26" s="2"/>
    </row>
    <row r="27" spans="2:16" x14ac:dyDescent="0.3">
      <c r="B27" s="3" t="s">
        <v>21</v>
      </c>
      <c r="C27" s="3" t="s">
        <v>50</v>
      </c>
      <c r="D27" s="3" t="s">
        <v>51</v>
      </c>
      <c r="E27" s="3" t="s">
        <v>52</v>
      </c>
      <c r="F27" s="3" t="s">
        <v>53</v>
      </c>
      <c r="G27" s="2" t="s">
        <v>56</v>
      </c>
      <c r="K27" s="3" t="s">
        <v>21</v>
      </c>
      <c r="L27" s="3" t="s">
        <v>50</v>
      </c>
      <c r="M27" s="3" t="s">
        <v>51</v>
      </c>
      <c r="N27" s="3" t="s">
        <v>52</v>
      </c>
      <c r="O27" s="3" t="s">
        <v>53</v>
      </c>
      <c r="P27" s="2" t="s">
        <v>56</v>
      </c>
    </row>
    <row r="28" spans="2:16" x14ac:dyDescent="0.3">
      <c r="B28" s="3">
        <v>1</v>
      </c>
      <c r="C28" s="2" t="s">
        <v>222</v>
      </c>
      <c r="D28" s="18" t="s">
        <v>220</v>
      </c>
      <c r="E28" s="2">
        <v>15</v>
      </c>
      <c r="F28" s="2" t="s">
        <v>221</v>
      </c>
      <c r="G28" s="2"/>
      <c r="K28" s="3">
        <v>1</v>
      </c>
      <c r="L28" s="2" t="s">
        <v>222</v>
      </c>
      <c r="M28" s="18" t="s">
        <v>220</v>
      </c>
      <c r="N28" s="2">
        <v>25</v>
      </c>
      <c r="O28" s="2" t="s">
        <v>221</v>
      </c>
      <c r="P28" s="2"/>
    </row>
    <row r="29" spans="2:16" x14ac:dyDescent="0.3">
      <c r="B29" s="3"/>
      <c r="C29" s="2" t="s">
        <v>223</v>
      </c>
      <c r="D29" s="18" t="s">
        <v>225</v>
      </c>
      <c r="E29" s="92" t="s">
        <v>224</v>
      </c>
      <c r="F29" s="2" t="s">
        <v>221</v>
      </c>
      <c r="G29" s="2"/>
      <c r="K29" s="3">
        <v>2</v>
      </c>
      <c r="L29" s="2" t="s">
        <v>223</v>
      </c>
      <c r="M29" s="18" t="s">
        <v>225</v>
      </c>
      <c r="N29" s="92" t="s">
        <v>275</v>
      </c>
      <c r="O29" s="2" t="s">
        <v>221</v>
      </c>
      <c r="P29" s="2"/>
    </row>
    <row r="30" spans="2:16" x14ac:dyDescent="0.3">
      <c r="B30" s="3"/>
      <c r="C30" s="2" t="s">
        <v>226</v>
      </c>
      <c r="D30" s="18" t="s">
        <v>227</v>
      </c>
      <c r="E30" s="2">
        <v>250</v>
      </c>
      <c r="F30" s="2" t="s">
        <v>221</v>
      </c>
      <c r="G30" s="2"/>
      <c r="K30" s="99">
        <v>3</v>
      </c>
      <c r="L30" s="13" t="s">
        <v>285</v>
      </c>
      <c r="M30" s="13" t="s">
        <v>276</v>
      </c>
      <c r="N30" s="2" t="s">
        <v>277</v>
      </c>
      <c r="O30" s="27" t="s">
        <v>92</v>
      </c>
      <c r="P30" s="2" t="s">
        <v>278</v>
      </c>
    </row>
    <row r="31" spans="2:16" x14ac:dyDescent="0.3">
      <c r="B31" s="3"/>
      <c r="C31" s="2" t="s">
        <v>81</v>
      </c>
      <c r="D31" s="18" t="s">
        <v>228</v>
      </c>
      <c r="E31" s="92" t="s">
        <v>229</v>
      </c>
      <c r="F31" s="2" t="s">
        <v>32</v>
      </c>
      <c r="G31" s="2"/>
      <c r="K31" s="161"/>
      <c r="L31" s="13"/>
      <c r="M31" s="13"/>
      <c r="N31" s="2" t="s">
        <v>279</v>
      </c>
      <c r="O31" s="27" t="s">
        <v>92</v>
      </c>
      <c r="P31" s="2" t="s">
        <v>280</v>
      </c>
    </row>
    <row r="32" spans="2:16" x14ac:dyDescent="0.3">
      <c r="B32" s="3"/>
      <c r="C32" s="2" t="s">
        <v>230</v>
      </c>
      <c r="D32" s="2" t="s">
        <v>40</v>
      </c>
      <c r="E32" s="2">
        <v>41.6</v>
      </c>
      <c r="F32" s="2" t="s">
        <v>231</v>
      </c>
      <c r="G32" s="2"/>
      <c r="K32" s="161"/>
      <c r="L32" s="13"/>
      <c r="M32" s="13"/>
      <c r="N32" s="2" t="s">
        <v>281</v>
      </c>
      <c r="O32" s="27" t="s">
        <v>92</v>
      </c>
      <c r="P32" s="2" t="s">
        <v>282</v>
      </c>
    </row>
    <row r="33" spans="2:17" x14ac:dyDescent="0.3">
      <c r="B33" s="2"/>
      <c r="C33" s="18" t="s">
        <v>232</v>
      </c>
      <c r="D33" s="18" t="s">
        <v>233</v>
      </c>
      <c r="E33" s="93">
        <v>2000</v>
      </c>
      <c r="F33" s="2"/>
      <c r="G33" s="2"/>
      <c r="K33" s="100"/>
      <c r="L33" s="13"/>
      <c r="M33" s="13"/>
      <c r="N33" s="2" t="s">
        <v>283</v>
      </c>
      <c r="O33" s="27" t="s">
        <v>92</v>
      </c>
      <c r="P33" s="2" t="s">
        <v>284</v>
      </c>
    </row>
    <row r="34" spans="2:17" x14ac:dyDescent="0.3">
      <c r="B34" s="2"/>
      <c r="C34" s="18" t="s">
        <v>234</v>
      </c>
      <c r="D34" s="18" t="s">
        <v>235</v>
      </c>
      <c r="E34" s="18">
        <v>5</v>
      </c>
      <c r="F34" s="2" t="s">
        <v>32</v>
      </c>
      <c r="G34" s="2"/>
      <c r="K34" s="3">
        <v>4</v>
      </c>
      <c r="L34" s="2" t="s">
        <v>286</v>
      </c>
      <c r="M34" s="2" t="s">
        <v>288</v>
      </c>
      <c r="N34" s="2">
        <v>25</v>
      </c>
      <c r="O34" s="163" t="s">
        <v>115</v>
      </c>
      <c r="P34" s="2"/>
    </row>
    <row r="35" spans="2:17" ht="17.25" thickBot="1" x14ac:dyDescent="0.35">
      <c r="B35" s="58"/>
      <c r="C35" s="146" t="s">
        <v>236</v>
      </c>
      <c r="D35" s="146" t="s">
        <v>237</v>
      </c>
      <c r="E35" s="147" t="s">
        <v>238</v>
      </c>
      <c r="F35" s="58" t="s">
        <v>115</v>
      </c>
      <c r="G35" s="58"/>
      <c r="H35" s="17"/>
      <c r="K35" s="164">
        <v>5</v>
      </c>
      <c r="L35" s="58" t="s">
        <v>287</v>
      </c>
      <c r="M35" s="58" t="s">
        <v>289</v>
      </c>
      <c r="N35" s="58">
        <v>1000</v>
      </c>
      <c r="O35" s="58"/>
      <c r="P35" s="58"/>
    </row>
    <row r="36" spans="2:17" x14ac:dyDescent="0.3">
      <c r="B36" s="149"/>
      <c r="C36" s="150" t="s">
        <v>239</v>
      </c>
      <c r="D36" s="151" t="s">
        <v>220</v>
      </c>
      <c r="E36" s="152">
        <f>13000/(SQRT(3)*380)</f>
        <v>19.75145657753983</v>
      </c>
      <c r="F36" s="151" t="s">
        <v>221</v>
      </c>
      <c r="G36" s="153" t="s">
        <v>246</v>
      </c>
      <c r="K36" s="2"/>
      <c r="L36" s="25" t="s">
        <v>239</v>
      </c>
      <c r="M36" s="18" t="s">
        <v>309</v>
      </c>
      <c r="N36" s="102">
        <f>13000/(SQRT(3)*380)</f>
        <v>19.75145657753983</v>
      </c>
      <c r="O36" s="18" t="s">
        <v>221</v>
      </c>
      <c r="P36" s="2" t="s">
        <v>246</v>
      </c>
    </row>
    <row r="37" spans="2:17" x14ac:dyDescent="0.3">
      <c r="B37" s="154"/>
      <c r="C37" s="18" t="s">
        <v>240</v>
      </c>
      <c r="D37" s="18" t="s">
        <v>241</v>
      </c>
      <c r="E37" s="96">
        <f>E36*SQRT(2)</f>
        <v>27.932777768580106</v>
      </c>
      <c r="F37" s="18" t="s">
        <v>221</v>
      </c>
      <c r="G37" s="155" t="s">
        <v>261</v>
      </c>
      <c r="K37" s="2"/>
      <c r="L37" s="18" t="s">
        <v>240</v>
      </c>
      <c r="M37" s="169" t="s">
        <v>308</v>
      </c>
      <c r="N37" s="96">
        <f>N36*SQRT(2)</f>
        <v>27.932777768580106</v>
      </c>
      <c r="O37" s="18" t="s">
        <v>221</v>
      </c>
      <c r="P37" s="2" t="s">
        <v>310</v>
      </c>
    </row>
    <row r="38" spans="2:17" x14ac:dyDescent="0.3">
      <c r="B38" s="154"/>
      <c r="C38" s="97" t="s">
        <v>81</v>
      </c>
      <c r="D38" s="18" t="s">
        <v>242</v>
      </c>
      <c r="E38" s="98">
        <f>2.5+(E37*E32*10^-3)</f>
        <v>3.6620035551729324</v>
      </c>
      <c r="F38" s="18" t="s">
        <v>32</v>
      </c>
      <c r="G38" s="155" t="s">
        <v>244</v>
      </c>
      <c r="H38" s="95">
        <f>E38-2.5</f>
        <v>1.1620035551729324</v>
      </c>
      <c r="K38" s="2"/>
      <c r="L38" s="18" t="s">
        <v>294</v>
      </c>
      <c r="M38" s="18" t="s">
        <v>165</v>
      </c>
      <c r="N38" s="96">
        <f>N37/N35*10^3</f>
        <v>27.932777768580106</v>
      </c>
      <c r="O38" s="18" t="s">
        <v>115</v>
      </c>
      <c r="P38" s="2"/>
    </row>
    <row r="39" spans="2:17" ht="17.25" thickBot="1" x14ac:dyDescent="0.35">
      <c r="B39" s="156"/>
      <c r="C39" s="157"/>
      <c r="D39" s="158" t="s">
        <v>243</v>
      </c>
      <c r="E39" s="159">
        <f>2.5-(E37*E32*10^-3)</f>
        <v>1.3379964448270676</v>
      </c>
      <c r="F39" s="158" t="s">
        <v>32</v>
      </c>
      <c r="G39" s="160" t="s">
        <v>245</v>
      </c>
      <c r="K39" s="2"/>
      <c r="L39" s="18" t="s">
        <v>292</v>
      </c>
      <c r="M39" s="2"/>
      <c r="N39" s="91">
        <v>3.3</v>
      </c>
      <c r="O39" s="18" t="s">
        <v>32</v>
      </c>
      <c r="P39" s="165" t="s">
        <v>295</v>
      </c>
    </row>
    <row r="40" spans="2:17" x14ac:dyDescent="0.3">
      <c r="B40" s="56"/>
      <c r="C40" s="135" t="s">
        <v>259</v>
      </c>
      <c r="D40" s="148"/>
      <c r="E40" s="132"/>
      <c r="F40" s="23"/>
      <c r="G40" s="56"/>
      <c r="K40" s="2"/>
      <c r="L40" s="18" t="s">
        <v>299</v>
      </c>
      <c r="M40" s="2" t="s">
        <v>297</v>
      </c>
      <c r="N40" s="96">
        <f>N39/(N38*10^-3)</f>
        <v>118.14077451731171</v>
      </c>
      <c r="O40" s="27" t="s">
        <v>92</v>
      </c>
      <c r="P40" s="14"/>
    </row>
    <row r="41" spans="2:17" x14ac:dyDescent="0.3">
      <c r="B41" s="56"/>
      <c r="C41" s="133" t="s">
        <v>262</v>
      </c>
      <c r="D41" s="134"/>
      <c r="E41" s="132"/>
      <c r="F41" s="23"/>
      <c r="G41" s="56"/>
      <c r="K41" s="2"/>
      <c r="L41" s="18" t="s">
        <v>298</v>
      </c>
      <c r="M41" s="2" t="s">
        <v>296</v>
      </c>
      <c r="N41" s="2">
        <f>232/2</f>
        <v>116</v>
      </c>
      <c r="O41" s="27" t="s">
        <v>92</v>
      </c>
      <c r="P41" s="15" t="s">
        <v>434</v>
      </c>
      <c r="Q41" s="17" t="s">
        <v>304</v>
      </c>
    </row>
    <row r="42" spans="2:17" x14ac:dyDescent="0.3">
      <c r="K42" s="2"/>
      <c r="L42" s="18" t="s">
        <v>305</v>
      </c>
      <c r="M42" s="2" t="s">
        <v>306</v>
      </c>
      <c r="N42" s="2">
        <f>(N38*10^-3)^2*N40</f>
        <v>9.2178166636314354E-2</v>
      </c>
      <c r="O42" s="27" t="s">
        <v>119</v>
      </c>
      <c r="P42" s="167" t="s">
        <v>307</v>
      </c>
    </row>
    <row r="43" spans="2:17" x14ac:dyDescent="0.3">
      <c r="B43" s="46" t="s">
        <v>41</v>
      </c>
      <c r="C43" s="46" t="s">
        <v>173</v>
      </c>
      <c r="D43" s="51">
        <f>C47</f>
        <v>1.4199612321792274</v>
      </c>
      <c r="E43" s="46" t="s">
        <v>42</v>
      </c>
      <c r="F43" s="46" t="s">
        <v>247</v>
      </c>
      <c r="G43" s="51">
        <f>F48</f>
        <v>1.8999030804480685</v>
      </c>
      <c r="H43" s="48"/>
      <c r="K43" s="2"/>
      <c r="L43" s="166" t="s">
        <v>301</v>
      </c>
      <c r="M43" s="2" t="s">
        <v>303</v>
      </c>
      <c r="N43" s="98">
        <f>(N38*10^-3)*N41</f>
        <v>3.2402022211552923</v>
      </c>
      <c r="O43" s="18" t="s">
        <v>32</v>
      </c>
      <c r="P43" s="2" t="s">
        <v>302</v>
      </c>
    </row>
    <row r="44" spans="2:17" x14ac:dyDescent="0.3">
      <c r="B44" s="49" t="s">
        <v>175</v>
      </c>
      <c r="C44" s="47">
        <v>5</v>
      </c>
      <c r="D44" s="48" t="s">
        <v>32</v>
      </c>
      <c r="E44" s="48"/>
      <c r="F44" s="48"/>
      <c r="G44" s="48"/>
      <c r="H44" s="48"/>
      <c r="K44" s="56"/>
      <c r="L44" s="170" t="s">
        <v>259</v>
      </c>
      <c r="M44" s="56"/>
      <c r="N44" s="132"/>
      <c r="O44" s="23"/>
      <c r="P44" s="56"/>
    </row>
    <row r="45" spans="2:17" x14ac:dyDescent="0.3">
      <c r="B45" s="49" t="s">
        <v>177</v>
      </c>
      <c r="C45" s="116">
        <f>E39</f>
        <v>1.3379964448270676</v>
      </c>
      <c r="D45" s="49" t="s">
        <v>32</v>
      </c>
      <c r="E45" s="50" t="s">
        <v>178</v>
      </c>
      <c r="F45" s="50" t="s">
        <v>179</v>
      </c>
      <c r="G45" s="47">
        <v>0</v>
      </c>
      <c r="H45" s="49" t="s">
        <v>32</v>
      </c>
      <c r="K45" s="56"/>
      <c r="L45" s="168" t="s">
        <v>311</v>
      </c>
      <c r="M45" s="56"/>
      <c r="N45" s="132"/>
      <c r="O45" s="23"/>
      <c r="P45" s="56"/>
    </row>
    <row r="46" spans="2:17" x14ac:dyDescent="0.3">
      <c r="B46" s="49" t="s">
        <v>180</v>
      </c>
      <c r="C46" s="116">
        <f>E38</f>
        <v>3.6620035551729324</v>
      </c>
      <c r="D46" s="49" t="s">
        <v>32</v>
      </c>
      <c r="E46" s="50" t="s">
        <v>178</v>
      </c>
      <c r="F46" s="50" t="s">
        <v>181</v>
      </c>
      <c r="G46" s="47">
        <v>3.3</v>
      </c>
      <c r="H46" s="49" t="s">
        <v>32</v>
      </c>
    </row>
    <row r="47" spans="2:17" x14ac:dyDescent="0.3">
      <c r="B47" s="46" t="s">
        <v>182</v>
      </c>
      <c r="C47" s="51">
        <f>(G46-G45)/(C46-C45)</f>
        <v>1.4199612321792274</v>
      </c>
      <c r="D47" s="46"/>
      <c r="E47" s="50" t="s">
        <v>183</v>
      </c>
      <c r="F47" s="52">
        <f>G45-C47*C45</f>
        <v>-1.8999030804480685</v>
      </c>
      <c r="G47" s="49"/>
      <c r="H47" s="46"/>
      <c r="K47" s="47" t="s">
        <v>175</v>
      </c>
      <c r="L47" s="47">
        <v>1.65</v>
      </c>
      <c r="M47" s="48" t="s">
        <v>32</v>
      </c>
      <c r="N47" s="46" t="s">
        <v>176</v>
      </c>
      <c r="O47" s="48">
        <v>3.3</v>
      </c>
      <c r="P47" s="48" t="s">
        <v>32</v>
      </c>
    </row>
    <row r="48" spans="2:17" x14ac:dyDescent="0.3">
      <c r="B48" s="46"/>
      <c r="C48" s="51"/>
      <c r="D48" s="46"/>
      <c r="E48" s="50" t="s">
        <v>248</v>
      </c>
      <c r="F48" s="52">
        <f>ABS(G45-C47*C45)</f>
        <v>1.8999030804480685</v>
      </c>
      <c r="G48" s="49"/>
      <c r="H48" s="46"/>
      <c r="K48" s="47" t="s">
        <v>177</v>
      </c>
      <c r="L48" s="116">
        <f>-N43</f>
        <v>-3.2402022211552923</v>
      </c>
      <c r="M48" s="49" t="s">
        <v>32</v>
      </c>
      <c r="N48" s="50" t="s">
        <v>178</v>
      </c>
      <c r="O48" s="50" t="s">
        <v>179</v>
      </c>
      <c r="P48" s="47">
        <f>L2</f>
        <v>0</v>
      </c>
    </row>
    <row r="49" spans="2:16" x14ac:dyDescent="0.3">
      <c r="B49" s="49" t="s">
        <v>249</v>
      </c>
      <c r="C49" s="51"/>
      <c r="D49" s="46"/>
      <c r="E49" s="50"/>
      <c r="F49" s="52"/>
      <c r="G49" s="46"/>
      <c r="H49" s="46"/>
      <c r="K49" s="47" t="s">
        <v>180</v>
      </c>
      <c r="L49" s="116">
        <f>N43</f>
        <v>3.2402022211552923</v>
      </c>
      <c r="M49" s="49" t="s">
        <v>32</v>
      </c>
      <c r="N49" s="50" t="s">
        <v>178</v>
      </c>
      <c r="O49" s="50" t="s">
        <v>181</v>
      </c>
      <c r="P49" s="47">
        <v>3.3</v>
      </c>
    </row>
    <row r="50" spans="2:16" x14ac:dyDescent="0.3">
      <c r="B50" s="46" t="s">
        <v>250</v>
      </c>
      <c r="C50" s="48">
        <f>(((C44*F51)/(F48*C51))-1)*F50</f>
        <v>1.7045237394398933</v>
      </c>
      <c r="D50" s="48" t="s">
        <v>38</v>
      </c>
      <c r="E50" s="50" t="s">
        <v>251</v>
      </c>
      <c r="F50" s="103">
        <v>16.2</v>
      </c>
      <c r="G50" s="48" t="s">
        <v>38</v>
      </c>
      <c r="H50" s="48"/>
      <c r="K50" s="46" t="s">
        <v>182</v>
      </c>
      <c r="L50" s="51">
        <f>(P49-P48)/(L49-L48)</f>
        <v>0.50922747636772292</v>
      </c>
      <c r="M50" s="46"/>
      <c r="N50" s="50" t="s">
        <v>183</v>
      </c>
      <c r="O50" s="52">
        <f>(P48-L50*L48)</f>
        <v>1.65</v>
      </c>
      <c r="P50" s="46"/>
    </row>
    <row r="51" spans="2:16" ht="17.25" thickBot="1" x14ac:dyDescent="0.35">
      <c r="B51" s="46" t="s">
        <v>252</v>
      </c>
      <c r="C51" s="48">
        <v>40.200000000000003</v>
      </c>
      <c r="D51" s="48" t="s">
        <v>38</v>
      </c>
      <c r="E51" s="50" t="s">
        <v>253</v>
      </c>
      <c r="F51" s="104">
        <f>(C47-1)*C51</f>
        <v>16.882441533604943</v>
      </c>
      <c r="G51" s="48" t="s">
        <v>38</v>
      </c>
      <c r="H51" s="48"/>
      <c r="K51" s="54" t="s">
        <v>184</v>
      </c>
      <c r="L51" s="54"/>
      <c r="M51" s="54"/>
      <c r="N51" s="53" t="s">
        <v>185</v>
      </c>
      <c r="O51" s="53"/>
      <c r="P51" s="53"/>
    </row>
    <row r="52" spans="2:16" ht="17.25" thickBot="1" x14ac:dyDescent="0.35">
      <c r="B52" s="105" t="s">
        <v>254</v>
      </c>
      <c r="C52" s="106"/>
      <c r="D52" s="106"/>
      <c r="E52" s="106"/>
      <c r="F52" s="106"/>
      <c r="G52" s="106"/>
      <c r="H52" s="107"/>
      <c r="K52" s="2" t="s">
        <v>186</v>
      </c>
      <c r="L52" s="18">
        <f>L47</f>
        <v>1.65</v>
      </c>
      <c r="M52" s="18" t="s">
        <v>32</v>
      </c>
      <c r="N52" s="18" t="s">
        <v>186</v>
      </c>
      <c r="O52" s="18">
        <v>1.65</v>
      </c>
      <c r="P52" s="2" t="s">
        <v>32</v>
      </c>
    </row>
    <row r="53" spans="2:16" x14ac:dyDescent="0.3">
      <c r="B53" s="121" t="s">
        <v>187</v>
      </c>
      <c r="C53" s="109">
        <v>1.69</v>
      </c>
      <c r="D53" s="110" t="s">
        <v>38</v>
      </c>
      <c r="E53" s="129" t="s">
        <v>255</v>
      </c>
      <c r="F53" s="109">
        <v>40.200000000000003</v>
      </c>
      <c r="G53" s="125" t="s">
        <v>38</v>
      </c>
      <c r="H53" s="111"/>
      <c r="K53" s="25" t="s">
        <v>187</v>
      </c>
      <c r="L53" s="18">
        <v>20</v>
      </c>
      <c r="M53" s="43" t="s">
        <v>38</v>
      </c>
      <c r="N53" s="18" t="s">
        <v>187</v>
      </c>
      <c r="O53" s="18">
        <v>20</v>
      </c>
      <c r="P53" s="16" t="s">
        <v>38</v>
      </c>
    </row>
    <row r="54" spans="2:16" x14ac:dyDescent="0.3">
      <c r="B54" s="122" t="s">
        <v>188</v>
      </c>
      <c r="C54" s="109">
        <v>16.2</v>
      </c>
      <c r="D54" s="110" t="s">
        <v>38</v>
      </c>
      <c r="E54" s="130" t="s">
        <v>256</v>
      </c>
      <c r="F54" s="109">
        <v>16.899999999999999</v>
      </c>
      <c r="G54" s="126" t="s">
        <v>38</v>
      </c>
      <c r="H54" s="111"/>
      <c r="K54" s="2" t="s">
        <v>188</v>
      </c>
      <c r="L54" s="18">
        <f>(L52*L50*L53)/O50</f>
        <v>10.184549527354459</v>
      </c>
      <c r="M54" s="43" t="s">
        <v>38</v>
      </c>
      <c r="N54" s="18" t="s">
        <v>188</v>
      </c>
      <c r="O54" s="18">
        <v>10</v>
      </c>
      <c r="P54" s="16" t="s">
        <v>38</v>
      </c>
    </row>
    <row r="55" spans="2:16" x14ac:dyDescent="0.3">
      <c r="B55" s="122" t="s">
        <v>257</v>
      </c>
      <c r="C55" s="109">
        <f>(C53*C54)/(C53+C54)</f>
        <v>1.5303521520402457</v>
      </c>
      <c r="D55" s="110" t="s">
        <v>38</v>
      </c>
      <c r="E55" s="130" t="s">
        <v>43</v>
      </c>
      <c r="F55" s="109">
        <v>5</v>
      </c>
      <c r="G55" s="127" t="s">
        <v>32</v>
      </c>
      <c r="H55" s="111"/>
      <c r="K55" s="25" t="s">
        <v>76</v>
      </c>
      <c r="L55" s="18">
        <v>100</v>
      </c>
      <c r="M55" s="43" t="s">
        <v>38</v>
      </c>
      <c r="N55" s="18" t="s">
        <v>76</v>
      </c>
      <c r="O55" s="18">
        <v>100</v>
      </c>
      <c r="P55" s="16" t="s">
        <v>38</v>
      </c>
    </row>
    <row r="56" spans="2:16" ht="17.25" thickBot="1" x14ac:dyDescent="0.35">
      <c r="B56" s="123" t="s">
        <v>189</v>
      </c>
      <c r="C56" s="109">
        <f>(F54+F53+C55)/(F53+C55)</f>
        <v>1.404981006113406</v>
      </c>
      <c r="D56" s="124"/>
      <c r="E56" s="131" t="s">
        <v>190</v>
      </c>
      <c r="F56" s="109">
        <f>-C44*(C54/(C53+C54))*(F54/(F53+C55))</f>
        <v>-1.8336199829617599</v>
      </c>
      <c r="G56" s="128"/>
      <c r="H56" s="111"/>
      <c r="K56" s="2" t="s">
        <v>74</v>
      </c>
      <c r="L56" s="2">
        <f>L55*(L50*(L53+L54)/L54-1)</f>
        <v>50.922747636772272</v>
      </c>
      <c r="M56" s="16" t="s">
        <v>38</v>
      </c>
      <c r="N56" s="2" t="s">
        <v>74</v>
      </c>
      <c r="O56" s="2">
        <v>49.9</v>
      </c>
      <c r="P56" s="16" t="s">
        <v>38</v>
      </c>
    </row>
    <row r="57" spans="2:16" ht="17.25" thickBot="1" x14ac:dyDescent="0.35">
      <c r="B57" s="117" t="s">
        <v>41</v>
      </c>
      <c r="C57" s="118" t="s">
        <v>173</v>
      </c>
      <c r="D57" s="119">
        <f>C56</f>
        <v>1.404981006113406</v>
      </c>
      <c r="E57" s="118" t="s">
        <v>192</v>
      </c>
      <c r="F57" s="118" t="s">
        <v>42</v>
      </c>
      <c r="G57" s="118">
        <f>F56</f>
        <v>-1.8336199829617599</v>
      </c>
      <c r="H57" s="120"/>
      <c r="K57" s="2" t="s">
        <v>189</v>
      </c>
      <c r="L57" s="2">
        <f>((L54/(L53+L54)*((L56+L55)/L55)))</f>
        <v>0.50922747636772292</v>
      </c>
      <c r="M57" s="2"/>
      <c r="N57" s="2" t="s">
        <v>189</v>
      </c>
      <c r="O57" s="2">
        <f>((O54/(O53+O54)*((O56+O55)/O55)))</f>
        <v>0.4996666666666667</v>
      </c>
      <c r="P57" s="2"/>
    </row>
    <row r="58" spans="2:16" x14ac:dyDescent="0.3">
      <c r="K58" s="58" t="s">
        <v>190</v>
      </c>
      <c r="L58" s="58">
        <f>L52*(L53/(L53+L54))*((L56+L55)/L55)</f>
        <v>1.6499999999999997</v>
      </c>
      <c r="M58" s="58"/>
      <c r="N58" s="58" t="s">
        <v>190</v>
      </c>
      <c r="O58" s="58">
        <f>O52*(O53/(O53+O54))*((O56+O55)/O55)</f>
        <v>1.6489</v>
      </c>
      <c r="P58" s="58"/>
    </row>
    <row r="59" spans="2:16" x14ac:dyDescent="0.3">
      <c r="K59" s="67" t="s">
        <v>194</v>
      </c>
      <c r="L59" s="68"/>
      <c r="M59" s="68"/>
      <c r="N59" s="68"/>
      <c r="O59" s="68"/>
      <c r="P59" s="69"/>
    </row>
    <row r="60" spans="2:16" x14ac:dyDescent="0.3">
      <c r="K60" s="63" t="s">
        <v>191</v>
      </c>
      <c r="L60" s="64">
        <f>O57</f>
        <v>0.4996666666666667</v>
      </c>
      <c r="M60" s="64" t="s">
        <v>192</v>
      </c>
      <c r="N60" s="65" t="s">
        <v>42</v>
      </c>
      <c r="O60" s="65" t="s">
        <v>193</v>
      </c>
      <c r="P60" s="66">
        <f>L58</f>
        <v>1.6499999999999997</v>
      </c>
    </row>
    <row r="62" spans="2:16" x14ac:dyDescent="0.3">
      <c r="K62" s="9" t="s">
        <v>67</v>
      </c>
    </row>
    <row r="63" spans="2:16" x14ac:dyDescent="0.3">
      <c r="K63" t="s">
        <v>258</v>
      </c>
    </row>
    <row r="65" spans="11:16" x14ac:dyDescent="0.3">
      <c r="K65" s="9" t="s">
        <v>87</v>
      </c>
    </row>
    <row r="66" spans="11:16" x14ac:dyDescent="0.3">
      <c r="K66" t="s">
        <v>258</v>
      </c>
    </row>
    <row r="68" spans="11:16" ht="17.25" thickBot="1" x14ac:dyDescent="0.35">
      <c r="K68" s="9" t="s">
        <v>111</v>
      </c>
    </row>
    <row r="69" spans="11:16" x14ac:dyDescent="0.3">
      <c r="K69" s="30" t="s">
        <v>100</v>
      </c>
      <c r="L69" s="31"/>
      <c r="M69" s="31"/>
      <c r="N69" s="31"/>
      <c r="O69" s="31"/>
      <c r="P69" s="32"/>
    </row>
    <row r="70" spans="11:16" x14ac:dyDescent="0.3">
      <c r="K70" s="137" t="s">
        <v>312</v>
      </c>
      <c r="L70" s="55"/>
      <c r="M70" s="55"/>
      <c r="N70" s="55"/>
      <c r="O70" s="55"/>
      <c r="P70" s="138"/>
    </row>
    <row r="71" spans="11:16" x14ac:dyDescent="0.3">
      <c r="K71" s="87" t="s">
        <v>317</v>
      </c>
      <c r="L71" s="56"/>
      <c r="M71" s="56"/>
      <c r="N71" s="56"/>
      <c r="O71" s="56"/>
      <c r="P71" s="34"/>
    </row>
    <row r="72" spans="11:16" x14ac:dyDescent="0.3">
      <c r="K72" s="171" t="s">
        <v>318</v>
      </c>
      <c r="L72" s="61"/>
      <c r="M72" s="61"/>
      <c r="N72" s="61"/>
      <c r="O72" s="61"/>
      <c r="P72" s="140"/>
    </row>
    <row r="73" spans="11:16" x14ac:dyDescent="0.3">
      <c r="K73" s="137" t="s">
        <v>313</v>
      </c>
      <c r="L73" s="55"/>
      <c r="M73" s="55"/>
      <c r="N73" s="55"/>
      <c r="O73" s="55"/>
      <c r="P73" s="138"/>
    </row>
    <row r="74" spans="11:16" x14ac:dyDescent="0.3">
      <c r="K74" s="87" t="s">
        <v>314</v>
      </c>
      <c r="L74" s="56"/>
      <c r="M74" s="56"/>
      <c r="N74" s="56"/>
      <c r="O74" s="56"/>
      <c r="P74" s="34"/>
    </row>
    <row r="75" spans="11:16" x14ac:dyDescent="0.3">
      <c r="K75" s="171" t="s">
        <v>209</v>
      </c>
      <c r="L75" s="61"/>
      <c r="M75" s="61"/>
      <c r="N75" s="61"/>
      <c r="O75" s="61"/>
      <c r="P75" s="140"/>
    </row>
    <row r="76" spans="11:16" x14ac:dyDescent="0.3">
      <c r="K76" s="137" t="s">
        <v>315</v>
      </c>
      <c r="L76" s="55"/>
      <c r="M76" s="55"/>
      <c r="N76" s="55"/>
      <c r="O76" s="55"/>
      <c r="P76" s="138"/>
    </row>
    <row r="77" spans="11:16" x14ac:dyDescent="0.3">
      <c r="K77" s="87" t="s">
        <v>102</v>
      </c>
      <c r="L77" s="56"/>
      <c r="M77" s="56"/>
      <c r="N77" s="56"/>
      <c r="O77" s="56"/>
      <c r="P77" s="34"/>
    </row>
    <row r="78" spans="11:16" x14ac:dyDescent="0.3">
      <c r="K78" s="87" t="s">
        <v>316</v>
      </c>
      <c r="L78" s="56"/>
      <c r="M78" s="56"/>
      <c r="N78" s="56"/>
      <c r="O78" s="56"/>
      <c r="P78" s="34"/>
    </row>
    <row r="79" spans="11:16" x14ac:dyDescent="0.3">
      <c r="K79" s="145" t="s">
        <v>319</v>
      </c>
      <c r="L79" s="56"/>
      <c r="M79" s="56"/>
      <c r="N79" s="56"/>
      <c r="O79" s="56"/>
      <c r="P79" s="34"/>
    </row>
    <row r="80" spans="11:16" ht="17.25" thickBot="1" x14ac:dyDescent="0.35">
      <c r="K80" s="172" t="s">
        <v>173</v>
      </c>
      <c r="L80" s="90">
        <f>( ( ( (4096/2^12 * 3.3) - 1.65) * N35) / 0.49966667) / (SQRT(2) * N41)</f>
        <v>20.129388233094016</v>
      </c>
      <c r="M80" s="90" t="s">
        <v>221</v>
      </c>
      <c r="N80" s="90"/>
      <c r="O80" s="90"/>
      <c r="P80" s="40"/>
    </row>
    <row r="81" spans="2:16" x14ac:dyDescent="0.3">
      <c r="K81" s="87"/>
      <c r="L81" s="56"/>
      <c r="M81" s="56"/>
      <c r="N81" s="56"/>
      <c r="O81" s="56"/>
      <c r="P81" s="34"/>
    </row>
    <row r="95" spans="2:16" x14ac:dyDescent="0.3">
      <c r="B95" s="9" t="s">
        <v>67</v>
      </c>
    </row>
    <row r="96" spans="2:16" x14ac:dyDescent="0.3">
      <c r="B96" t="s">
        <v>258</v>
      </c>
    </row>
    <row r="98" spans="2:7" x14ac:dyDescent="0.3">
      <c r="B98" s="9" t="s">
        <v>87</v>
      </c>
    </row>
    <row r="99" spans="2:7" x14ac:dyDescent="0.3">
      <c r="B99" t="s">
        <v>258</v>
      </c>
    </row>
    <row r="101" spans="2:7" ht="17.25" thickBot="1" x14ac:dyDescent="0.35">
      <c r="B101" s="9" t="s">
        <v>111</v>
      </c>
    </row>
    <row r="102" spans="2:7" x14ac:dyDescent="0.3">
      <c r="B102" s="30" t="s">
        <v>100</v>
      </c>
      <c r="C102" s="31"/>
      <c r="D102" s="31"/>
      <c r="E102" s="31"/>
      <c r="F102" s="31"/>
      <c r="G102" s="32"/>
    </row>
    <row r="103" spans="2:7" x14ac:dyDescent="0.3">
      <c r="B103" s="137" t="s">
        <v>260</v>
      </c>
      <c r="C103" s="55"/>
      <c r="D103" s="55"/>
      <c r="E103" s="55"/>
      <c r="F103" s="55"/>
      <c r="G103" s="138"/>
    </row>
    <row r="104" spans="2:7" x14ac:dyDescent="0.3">
      <c r="B104" s="139" t="s">
        <v>265</v>
      </c>
      <c r="C104" s="56"/>
      <c r="D104" s="56"/>
      <c r="E104" s="56"/>
      <c r="F104" s="56"/>
      <c r="G104" s="34"/>
    </row>
    <row r="105" spans="2:7" x14ac:dyDescent="0.3">
      <c r="B105" s="139" t="s">
        <v>266</v>
      </c>
      <c r="C105" s="61"/>
      <c r="D105" s="61"/>
      <c r="E105" s="61">
        <f>(E108-2.5) / (SQRT(2)*E32*10^-3)</f>
        <v>19.613228241756186</v>
      </c>
      <c r="F105" s="61" t="s">
        <v>221</v>
      </c>
      <c r="G105" s="140"/>
    </row>
    <row r="106" spans="2:7" x14ac:dyDescent="0.3">
      <c r="B106" s="141" t="s">
        <v>263</v>
      </c>
      <c r="C106" s="55"/>
      <c r="D106" s="55"/>
      <c r="E106" s="55"/>
      <c r="F106" s="55"/>
      <c r="G106" s="138"/>
    </row>
    <row r="107" spans="2:7" x14ac:dyDescent="0.3">
      <c r="B107" s="142" t="s">
        <v>267</v>
      </c>
      <c r="C107" s="56"/>
      <c r="D107" s="56"/>
      <c r="E107" s="56"/>
      <c r="F107" s="56"/>
      <c r="G107" s="34"/>
    </row>
    <row r="108" spans="2:7" x14ac:dyDescent="0.3">
      <c r="B108" s="139" t="s">
        <v>268</v>
      </c>
      <c r="C108" s="61"/>
      <c r="D108" s="61"/>
      <c r="E108" s="61">
        <f>(D110+1.8336199)/1.404981</f>
        <v>3.6538714046666816</v>
      </c>
      <c r="F108" s="61" t="s">
        <v>32</v>
      </c>
      <c r="G108" s="140"/>
    </row>
    <row r="109" spans="2:7" x14ac:dyDescent="0.3">
      <c r="B109" s="143" t="s">
        <v>264</v>
      </c>
      <c r="C109" s="55"/>
      <c r="D109" s="55"/>
      <c r="E109" s="55"/>
      <c r="F109" s="55"/>
      <c r="G109" s="138"/>
    </row>
    <row r="110" spans="2:7" x14ac:dyDescent="0.3">
      <c r="B110" s="144" t="s">
        <v>269</v>
      </c>
      <c r="C110" s="61"/>
      <c r="D110" s="61">
        <f>4096/2^12 * 3.3</f>
        <v>3.3</v>
      </c>
      <c r="E110" s="61"/>
      <c r="F110" s="61"/>
      <c r="G110" s="140"/>
    </row>
    <row r="111" spans="2:7" x14ac:dyDescent="0.3">
      <c r="B111" s="145" t="s">
        <v>272</v>
      </c>
      <c r="C111" s="56"/>
      <c r="D111" s="56"/>
      <c r="E111" s="56"/>
      <c r="F111" s="56"/>
      <c r="G111" s="34"/>
    </row>
    <row r="112" spans="2:7" x14ac:dyDescent="0.3">
      <c r="B112" s="86" t="s">
        <v>273</v>
      </c>
      <c r="C112" s="56"/>
      <c r="D112" s="56"/>
      <c r="E112" s="56"/>
      <c r="F112" s="56"/>
      <c r="G112" s="34"/>
    </row>
    <row r="113" spans="2:7" x14ac:dyDescent="0.3">
      <c r="B113" s="87"/>
      <c r="C113" s="56" t="s">
        <v>270</v>
      </c>
      <c r="D113" s="56"/>
      <c r="E113" s="56"/>
      <c r="F113" s="56"/>
      <c r="G113" s="34"/>
    </row>
    <row r="114" spans="2:7" x14ac:dyDescent="0.3">
      <c r="B114" s="87"/>
      <c r="C114" s="56" t="s">
        <v>271</v>
      </c>
      <c r="D114" s="56"/>
      <c r="E114" s="56"/>
      <c r="F114" s="56"/>
      <c r="G114" s="34"/>
    </row>
    <row r="115" spans="2:7" x14ac:dyDescent="0.3">
      <c r="B115" s="33"/>
      <c r="C115" s="56">
        <f xml:space="preserve"> ( ( ( ( (4096/2^12)*3.3) + 1.8336199) / 1.404981) - 2.5) / (SQRT(2)*E32*10^-3)</f>
        <v>19.613228241756186</v>
      </c>
      <c r="D115" s="56" t="s">
        <v>221</v>
      </c>
      <c r="E115" s="56"/>
      <c r="F115" s="34"/>
      <c r="G115" s="34"/>
    </row>
    <row r="116" spans="2:7" x14ac:dyDescent="0.3">
      <c r="B116" s="88"/>
      <c r="C116" s="56"/>
      <c r="D116" s="56"/>
      <c r="E116" s="56"/>
      <c r="F116" s="56"/>
      <c r="G116" s="34"/>
    </row>
    <row r="117" spans="2:7" ht="17.25" thickBot="1" x14ac:dyDescent="0.35">
      <c r="B117" s="89"/>
      <c r="C117" s="90"/>
      <c r="D117" s="90"/>
      <c r="E117" s="90"/>
      <c r="F117" s="90"/>
      <c r="G117" s="40"/>
    </row>
  </sheetData>
  <mergeCells count="12">
    <mergeCell ref="K30:K33"/>
    <mergeCell ref="K51:M51"/>
    <mergeCell ref="N51:P51"/>
    <mergeCell ref="K59:P59"/>
    <mergeCell ref="B25:F25"/>
    <mergeCell ref="B26:F26"/>
    <mergeCell ref="C38:C39"/>
    <mergeCell ref="B52:H52"/>
    <mergeCell ref="K25:O25"/>
    <mergeCell ref="K26:O26"/>
    <mergeCell ref="M30:M33"/>
    <mergeCell ref="L30:L33"/>
  </mergeCells>
  <phoneticPr fontId="2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C8783A-2E7B-407E-A239-EB9618C5BDA3}">
  <dimension ref="A1:Z82"/>
  <sheetViews>
    <sheetView topLeftCell="A44" zoomScaleNormal="100" workbookViewId="0">
      <selection activeCell="Q41" sqref="Q41"/>
    </sheetView>
  </sheetViews>
  <sheetFormatPr defaultRowHeight="16.5" x14ac:dyDescent="0.3"/>
  <cols>
    <col min="2" max="2" width="5.625" customWidth="1"/>
    <col min="3" max="3" width="19.875" customWidth="1"/>
    <col min="4" max="4" width="12" customWidth="1"/>
    <col min="5" max="5" width="10.5" bestFit="1" customWidth="1"/>
    <col min="6" max="6" width="7.75" customWidth="1"/>
    <col min="15" max="15" width="19.875" customWidth="1"/>
    <col min="16" max="16" width="11.875" customWidth="1"/>
    <col min="17" max="17" width="10.75" customWidth="1"/>
    <col min="18" max="18" width="9.5" bestFit="1" customWidth="1"/>
    <col min="19" max="19" width="28" customWidth="1"/>
  </cols>
  <sheetData>
    <row r="1" spans="1:14" ht="17.25" x14ac:dyDescent="0.3">
      <c r="A1" s="28" t="s">
        <v>320</v>
      </c>
    </row>
    <row r="2" spans="1:14" ht="17.25" x14ac:dyDescent="0.3">
      <c r="A2" s="29" t="s">
        <v>321</v>
      </c>
    </row>
    <row r="4" spans="1:14" x14ac:dyDescent="0.3">
      <c r="A4" s="9" t="s">
        <v>322</v>
      </c>
      <c r="N4" s="9" t="s">
        <v>376</v>
      </c>
    </row>
    <row r="25" spans="2:19" ht="17.25" thickBot="1" x14ac:dyDescent="0.35">
      <c r="B25" t="s">
        <v>323</v>
      </c>
      <c r="E25" s="12" t="s">
        <v>342</v>
      </c>
      <c r="F25" s="12"/>
      <c r="G25" s="12"/>
      <c r="H25" s="12"/>
      <c r="I25" s="12" t="s">
        <v>343</v>
      </c>
      <c r="J25" s="12"/>
      <c r="K25" s="12"/>
      <c r="N25" s="9" t="s">
        <v>99</v>
      </c>
      <c r="S25" s="26" t="s">
        <v>88</v>
      </c>
    </row>
    <row r="26" spans="2:19" x14ac:dyDescent="0.3">
      <c r="B26" s="3" t="s">
        <v>21</v>
      </c>
      <c r="C26" s="3" t="s">
        <v>50</v>
      </c>
      <c r="D26" s="3" t="s">
        <v>51</v>
      </c>
      <c r="E26" s="174" t="s">
        <v>52</v>
      </c>
      <c r="F26" s="3" t="s">
        <v>53</v>
      </c>
      <c r="G26" s="6" t="s">
        <v>56</v>
      </c>
      <c r="H26" s="7"/>
      <c r="I26" s="179" t="s">
        <v>52</v>
      </c>
      <c r="J26" s="180" t="s">
        <v>53</v>
      </c>
      <c r="K26" s="181" t="s">
        <v>56</v>
      </c>
      <c r="L26" s="182"/>
      <c r="N26" s="5" t="s">
        <v>377</v>
      </c>
      <c r="O26" s="5"/>
      <c r="P26" s="5"/>
      <c r="Q26" s="5"/>
      <c r="R26" s="5"/>
      <c r="S26" s="2"/>
    </row>
    <row r="27" spans="2:19" x14ac:dyDescent="0.3">
      <c r="B27" s="177">
        <v>1</v>
      </c>
      <c r="C27" s="177" t="s">
        <v>324</v>
      </c>
      <c r="D27" s="177" t="s">
        <v>326</v>
      </c>
      <c r="E27" s="56">
        <v>2</v>
      </c>
      <c r="F27" s="56" t="s">
        <v>32</v>
      </c>
      <c r="G27" s="56"/>
      <c r="H27" s="56"/>
      <c r="I27" s="33">
        <v>2</v>
      </c>
      <c r="J27" s="56" t="s">
        <v>32</v>
      </c>
      <c r="K27" s="56"/>
      <c r="L27" s="34"/>
      <c r="N27" s="5" t="s">
        <v>145</v>
      </c>
      <c r="O27" s="5"/>
      <c r="P27" s="5"/>
      <c r="Q27" s="5"/>
      <c r="R27" s="5"/>
      <c r="S27" s="2"/>
    </row>
    <row r="28" spans="2:19" x14ac:dyDescent="0.3">
      <c r="B28" s="177"/>
      <c r="C28" s="177" t="s">
        <v>72</v>
      </c>
      <c r="D28" s="177" t="s">
        <v>40</v>
      </c>
      <c r="E28" s="56">
        <v>1</v>
      </c>
      <c r="F28" s="56"/>
      <c r="G28" s="56"/>
      <c r="H28" s="56"/>
      <c r="I28" s="33">
        <v>1</v>
      </c>
      <c r="J28" s="56"/>
      <c r="K28" s="56"/>
      <c r="L28" s="34"/>
      <c r="N28" s="3" t="s">
        <v>21</v>
      </c>
      <c r="O28" s="3" t="s">
        <v>50</v>
      </c>
      <c r="P28" s="3" t="s">
        <v>51</v>
      </c>
      <c r="Q28" s="3" t="s">
        <v>52</v>
      </c>
      <c r="R28" s="3" t="s">
        <v>53</v>
      </c>
      <c r="S28" s="2" t="s">
        <v>56</v>
      </c>
    </row>
    <row r="29" spans="2:19" x14ac:dyDescent="0.3">
      <c r="B29" s="177"/>
      <c r="C29" s="177" t="s">
        <v>325</v>
      </c>
      <c r="D29" s="177" t="s">
        <v>327</v>
      </c>
      <c r="E29" s="56">
        <v>750</v>
      </c>
      <c r="F29" s="56" t="s">
        <v>32</v>
      </c>
      <c r="G29" s="56"/>
      <c r="H29" s="56"/>
      <c r="I29" s="33">
        <v>750</v>
      </c>
      <c r="J29" s="56" t="s">
        <v>32</v>
      </c>
      <c r="K29" s="56"/>
      <c r="L29" s="34"/>
      <c r="N29" s="3"/>
      <c r="O29" s="3" t="s">
        <v>381</v>
      </c>
      <c r="P29" s="15" t="s">
        <v>382</v>
      </c>
      <c r="Q29" s="94">
        <v>2.5</v>
      </c>
      <c r="R29" s="3"/>
      <c r="S29" s="2"/>
    </row>
    <row r="30" spans="2:19" x14ac:dyDescent="0.3">
      <c r="B30" s="177"/>
      <c r="C30" s="201" t="s">
        <v>58</v>
      </c>
      <c r="D30" s="177" t="s">
        <v>367</v>
      </c>
      <c r="E30" s="56">
        <v>850</v>
      </c>
      <c r="F30" s="56" t="s">
        <v>32</v>
      </c>
      <c r="G30" s="23" t="s">
        <v>359</v>
      </c>
      <c r="H30" s="56"/>
      <c r="I30" s="33">
        <v>850</v>
      </c>
      <c r="J30" s="56" t="s">
        <v>32</v>
      </c>
      <c r="K30" s="56"/>
      <c r="L30" s="34"/>
      <c r="N30" s="3">
        <v>1</v>
      </c>
      <c r="O30" s="2" t="s">
        <v>113</v>
      </c>
      <c r="P30" s="25" t="s">
        <v>127</v>
      </c>
      <c r="Q30" s="2">
        <v>850</v>
      </c>
      <c r="R30" s="2" t="s">
        <v>391</v>
      </c>
      <c r="S30" s="2"/>
    </row>
    <row r="31" spans="2:19" x14ac:dyDescent="0.3">
      <c r="B31" s="177"/>
      <c r="C31" s="177" t="s">
        <v>355</v>
      </c>
      <c r="D31" s="177" t="s">
        <v>357</v>
      </c>
      <c r="E31" s="56">
        <f>E27</f>
        <v>2</v>
      </c>
      <c r="F31" s="56" t="s">
        <v>32</v>
      </c>
      <c r="G31" s="23" t="s">
        <v>360</v>
      </c>
      <c r="H31" s="56"/>
      <c r="I31" s="33">
        <v>2</v>
      </c>
      <c r="J31" s="56" t="s">
        <v>32</v>
      </c>
      <c r="K31" s="56"/>
      <c r="L31" s="34"/>
      <c r="N31" s="3">
        <v>2</v>
      </c>
      <c r="O31" s="2" t="s">
        <v>131</v>
      </c>
      <c r="P31" s="2" t="s">
        <v>128</v>
      </c>
      <c r="Q31" s="2">
        <v>850</v>
      </c>
      <c r="R31" s="2" t="s">
        <v>391</v>
      </c>
      <c r="S31" s="2"/>
    </row>
    <row r="32" spans="2:19" x14ac:dyDescent="0.3">
      <c r="B32" s="177"/>
      <c r="C32" s="177" t="s">
        <v>356</v>
      </c>
      <c r="D32" s="177" t="s">
        <v>41</v>
      </c>
      <c r="E32" s="23">
        <f>E31*E28</f>
        <v>2</v>
      </c>
      <c r="F32" s="23" t="s">
        <v>32</v>
      </c>
      <c r="G32" s="23" t="s">
        <v>358</v>
      </c>
      <c r="H32" s="56"/>
      <c r="I32" s="33"/>
      <c r="J32" s="56"/>
      <c r="K32" s="56"/>
      <c r="L32" s="34"/>
      <c r="N32" s="3">
        <v>3</v>
      </c>
      <c r="O32" s="18" t="s">
        <v>114</v>
      </c>
      <c r="P32" s="18" t="s">
        <v>129</v>
      </c>
      <c r="Q32" s="18">
        <v>10</v>
      </c>
      <c r="R32" s="18" t="s">
        <v>115</v>
      </c>
      <c r="S32" s="2"/>
    </row>
    <row r="33" spans="2:26" x14ac:dyDescent="0.3">
      <c r="B33" s="177"/>
      <c r="C33" s="177" t="s">
        <v>329</v>
      </c>
      <c r="D33" s="177" t="s">
        <v>328</v>
      </c>
      <c r="E33" s="56">
        <f>E30/(100*10^-6)*10^-3</f>
        <v>8500</v>
      </c>
      <c r="F33" s="175" t="s">
        <v>38</v>
      </c>
      <c r="G33" s="71" t="s">
        <v>361</v>
      </c>
      <c r="H33" s="56"/>
      <c r="I33" s="33">
        <f>332*6</f>
        <v>1992</v>
      </c>
      <c r="J33" s="175" t="s">
        <v>38</v>
      </c>
      <c r="K33" s="56"/>
      <c r="L33" s="34"/>
      <c r="N33" s="3">
        <v>4</v>
      </c>
      <c r="O33" s="18" t="s">
        <v>116</v>
      </c>
      <c r="P33" s="18" t="s">
        <v>130</v>
      </c>
      <c r="Q33" s="18">
        <v>14</v>
      </c>
      <c r="R33" s="18" t="s">
        <v>115</v>
      </c>
      <c r="S33" s="2" t="s">
        <v>379</v>
      </c>
    </row>
    <row r="34" spans="2:26" x14ac:dyDescent="0.3">
      <c r="B34" s="177"/>
      <c r="C34" s="177" t="s">
        <v>332</v>
      </c>
      <c r="D34" s="177" t="s">
        <v>333</v>
      </c>
      <c r="E34" s="56">
        <v>6</v>
      </c>
      <c r="F34" s="175" t="s">
        <v>122</v>
      </c>
      <c r="G34" s="71" t="s">
        <v>362</v>
      </c>
      <c r="H34" s="56"/>
      <c r="I34" s="33">
        <v>6</v>
      </c>
      <c r="J34" s="175" t="s">
        <v>122</v>
      </c>
      <c r="K34" s="56"/>
      <c r="L34" s="34"/>
      <c r="N34" s="3">
        <v>5</v>
      </c>
      <c r="O34" s="18" t="s">
        <v>117</v>
      </c>
      <c r="P34" s="18" t="s">
        <v>134</v>
      </c>
      <c r="Q34" s="18">
        <f>Q31/(Q33)</f>
        <v>60.714285714285715</v>
      </c>
      <c r="R34" s="43" t="s">
        <v>38</v>
      </c>
      <c r="S34" s="2" t="s">
        <v>135</v>
      </c>
    </row>
    <row r="35" spans="2:26" x14ac:dyDescent="0.3">
      <c r="B35" s="177"/>
      <c r="C35" s="177" t="s">
        <v>334</v>
      </c>
      <c r="D35" s="177" t="s">
        <v>335</v>
      </c>
      <c r="E35" s="132">
        <f>E30/E33</f>
        <v>0.1</v>
      </c>
      <c r="F35" s="175" t="s">
        <v>115</v>
      </c>
      <c r="G35" s="56"/>
      <c r="H35" s="56"/>
      <c r="I35" s="183">
        <f>I30/I33</f>
        <v>0.42670682730923692</v>
      </c>
      <c r="J35" s="175" t="s">
        <v>115</v>
      </c>
      <c r="K35" s="56"/>
      <c r="L35" s="34"/>
      <c r="N35" s="3">
        <v>6</v>
      </c>
      <c r="O35" s="18" t="s">
        <v>118</v>
      </c>
      <c r="P35" s="18" t="s">
        <v>142</v>
      </c>
      <c r="Q35" s="18">
        <f>(Q32*10^-3)^2*Q34*10^3</f>
        <v>6.0714285714285721</v>
      </c>
      <c r="R35" s="43" t="s">
        <v>119</v>
      </c>
      <c r="S35" s="2" t="s">
        <v>137</v>
      </c>
    </row>
    <row r="36" spans="2:26" x14ac:dyDescent="0.3">
      <c r="B36" s="177"/>
      <c r="C36" s="177" t="s">
        <v>330</v>
      </c>
      <c r="D36" s="177" t="s">
        <v>187</v>
      </c>
      <c r="E36" s="56">
        <f>E33/E34</f>
        <v>1416.6666666666667</v>
      </c>
      <c r="F36" s="175" t="s">
        <v>38</v>
      </c>
      <c r="G36" s="56" t="s">
        <v>300</v>
      </c>
      <c r="H36" s="56"/>
      <c r="I36" s="33">
        <f>I33/I34</f>
        <v>332</v>
      </c>
      <c r="J36" s="175" t="s">
        <v>38</v>
      </c>
      <c r="K36" s="56"/>
      <c r="L36" s="34"/>
      <c r="N36" s="3">
        <v>7</v>
      </c>
      <c r="O36" s="18" t="s">
        <v>120</v>
      </c>
      <c r="P36" s="18" t="s">
        <v>139</v>
      </c>
      <c r="Q36" s="18">
        <f>Q34/2</f>
        <v>30.357142857142858</v>
      </c>
      <c r="R36" s="43" t="s">
        <v>38</v>
      </c>
      <c r="S36" s="2" t="s">
        <v>138</v>
      </c>
    </row>
    <row r="37" spans="2:26" x14ac:dyDescent="0.3">
      <c r="B37" s="177"/>
      <c r="C37" s="177" t="s">
        <v>331</v>
      </c>
      <c r="D37" s="177" t="s">
        <v>188</v>
      </c>
      <c r="E37" s="56">
        <f>E31/(E30-E31)*E33</f>
        <v>20.047169811320753</v>
      </c>
      <c r="F37" s="175" t="s">
        <v>38</v>
      </c>
      <c r="G37" s="175" t="s">
        <v>341</v>
      </c>
      <c r="H37" s="56"/>
      <c r="I37" s="145">
        <f>I31/(I30-I31)*I33</f>
        <v>4.6981132075471699</v>
      </c>
      <c r="J37" s="189" t="s">
        <v>38</v>
      </c>
      <c r="K37" s="136" t="s">
        <v>344</v>
      </c>
      <c r="L37" s="34"/>
      <c r="N37" s="3">
        <v>8</v>
      </c>
      <c r="O37" s="18" t="s">
        <v>121</v>
      </c>
      <c r="P37" s="18" t="s">
        <v>141</v>
      </c>
      <c r="Q37" s="18">
        <v>24</v>
      </c>
      <c r="R37" s="18" t="s">
        <v>122</v>
      </c>
      <c r="S37" s="2"/>
    </row>
    <row r="38" spans="2:26" x14ac:dyDescent="0.3">
      <c r="B38" s="177"/>
      <c r="C38" s="177" t="s">
        <v>338</v>
      </c>
      <c r="D38" s="177" t="s">
        <v>336</v>
      </c>
      <c r="E38" s="56">
        <f>(E35*10^-3)^2*E36*10^3</f>
        <v>1.4166666666666668E-2</v>
      </c>
      <c r="F38" s="175" t="s">
        <v>119</v>
      </c>
      <c r="G38" s="56"/>
      <c r="H38" s="56"/>
      <c r="I38" s="33">
        <f>(I35*10^-3)^2*I36*10^3</f>
        <v>6.0450133868808556E-2</v>
      </c>
      <c r="J38" s="175" t="s">
        <v>119</v>
      </c>
      <c r="K38" s="56">
        <f>1/4</f>
        <v>0.25</v>
      </c>
      <c r="L38" s="34" t="s">
        <v>345</v>
      </c>
      <c r="N38" s="3">
        <v>9</v>
      </c>
      <c r="O38" s="18" t="s">
        <v>123</v>
      </c>
      <c r="P38" s="18" t="s">
        <v>144</v>
      </c>
      <c r="Q38" s="18">
        <v>1</v>
      </c>
      <c r="R38" s="18" t="s">
        <v>119</v>
      </c>
      <c r="S38" s="2" t="s">
        <v>148</v>
      </c>
    </row>
    <row r="39" spans="2:26" ht="17.25" thickBot="1" x14ac:dyDescent="0.35">
      <c r="B39" s="178"/>
      <c r="C39" s="178" t="s">
        <v>339</v>
      </c>
      <c r="D39" s="178" t="s">
        <v>337</v>
      </c>
      <c r="E39" s="61">
        <f>(E35*10^-3)^2*E37*10^3</f>
        <v>2.0047169811320754E-4</v>
      </c>
      <c r="F39" s="176" t="s">
        <v>119</v>
      </c>
      <c r="G39" s="61"/>
      <c r="H39" s="61"/>
      <c r="I39" s="184">
        <f>(I35*10^-3)^2*I37*10^3</f>
        <v>8.5542642267181915E-4</v>
      </c>
      <c r="J39" s="185" t="s">
        <v>119</v>
      </c>
      <c r="K39" s="90">
        <f>1/8</f>
        <v>0.125</v>
      </c>
      <c r="L39" s="40" t="s">
        <v>345</v>
      </c>
      <c r="N39" s="3">
        <v>10</v>
      </c>
      <c r="O39" s="18" t="s">
        <v>124</v>
      </c>
      <c r="P39" s="18" t="s">
        <v>143</v>
      </c>
      <c r="Q39" s="18">
        <f>Q37*Q38</f>
        <v>24</v>
      </c>
      <c r="R39" s="18" t="s">
        <v>119</v>
      </c>
      <c r="S39" s="2" t="s">
        <v>149</v>
      </c>
      <c r="U39" s="6" t="s">
        <v>202</v>
      </c>
      <c r="V39" s="7"/>
      <c r="W39" s="7"/>
      <c r="X39" s="7"/>
      <c r="Y39" s="7"/>
      <c r="Z39" s="8"/>
    </row>
    <row r="40" spans="2:26" x14ac:dyDescent="0.3">
      <c r="B40" s="56"/>
      <c r="C40" s="17" t="s">
        <v>259</v>
      </c>
      <c r="D40" s="56"/>
      <c r="E40" s="56"/>
      <c r="F40" s="175"/>
      <c r="G40" s="56"/>
      <c r="H40" s="56"/>
      <c r="I40" s="56"/>
      <c r="J40" s="175"/>
      <c r="K40" s="56"/>
      <c r="L40" s="56"/>
      <c r="N40" s="3">
        <v>11</v>
      </c>
      <c r="O40" s="18" t="s">
        <v>146</v>
      </c>
      <c r="P40" s="18"/>
      <c r="Q40" s="18">
        <f>Q36/12</f>
        <v>2.5297619047619047</v>
      </c>
      <c r="R40" s="43" t="s">
        <v>38</v>
      </c>
      <c r="S40" s="2" t="s">
        <v>160</v>
      </c>
      <c r="U40" s="73" t="s">
        <v>380</v>
      </c>
      <c r="V40" s="55"/>
      <c r="W40" s="55"/>
      <c r="X40" s="55"/>
      <c r="Y40" s="55"/>
      <c r="Z40" s="74"/>
    </row>
    <row r="41" spans="2:26" x14ac:dyDescent="0.3">
      <c r="C41" s="17" t="s">
        <v>370</v>
      </c>
      <c r="N41" s="3">
        <v>12</v>
      </c>
      <c r="O41" s="18" t="s">
        <v>147</v>
      </c>
      <c r="P41" s="25" t="s">
        <v>161</v>
      </c>
      <c r="Q41" s="18">
        <v>2.5499999999999998</v>
      </c>
      <c r="R41" s="43" t="s">
        <v>38</v>
      </c>
      <c r="S41" s="45" t="s">
        <v>159</v>
      </c>
      <c r="T41">
        <f>Q41*12</f>
        <v>30.599999999999998</v>
      </c>
      <c r="U41" s="75" t="s">
        <v>199</v>
      </c>
      <c r="V41" s="56"/>
      <c r="W41" s="56"/>
      <c r="X41" s="56"/>
      <c r="Y41" s="56"/>
      <c r="Z41" s="76"/>
    </row>
    <row r="42" spans="2:26" x14ac:dyDescent="0.3">
      <c r="C42">
        <f>(I37*I30)/( (I34*I36)+I37)</f>
        <v>2.0000000000000004</v>
      </c>
      <c r="N42" s="3">
        <v>13</v>
      </c>
      <c r="O42" s="18" t="s">
        <v>150</v>
      </c>
      <c r="P42" s="18" t="s">
        <v>163</v>
      </c>
      <c r="Q42" s="18">
        <f>Q31/(Q41*Q37)</f>
        <v>13.888888888888889</v>
      </c>
      <c r="R42" s="43" t="s">
        <v>115</v>
      </c>
      <c r="S42" s="2" t="s">
        <v>162</v>
      </c>
      <c r="U42" s="75" t="s">
        <v>384</v>
      </c>
      <c r="V42" s="56"/>
      <c r="W42" s="56"/>
      <c r="X42" s="56"/>
      <c r="Y42" s="56"/>
      <c r="Z42" s="76"/>
    </row>
    <row r="43" spans="2:26" x14ac:dyDescent="0.3">
      <c r="B43" s="9" t="s">
        <v>346</v>
      </c>
      <c r="F43" s="186" t="s">
        <v>88</v>
      </c>
      <c r="G43" s="186"/>
      <c r="N43" s="3">
        <v>14</v>
      </c>
      <c r="O43" s="18" t="s">
        <v>151</v>
      </c>
      <c r="P43" s="18" t="s">
        <v>164</v>
      </c>
      <c r="Q43" s="18">
        <f>(Q42*10^-3)^2*Q41</f>
        <v>4.9189814814814821E-4</v>
      </c>
      <c r="R43" s="43" t="s">
        <v>119</v>
      </c>
      <c r="S43" s="44" t="s">
        <v>158</v>
      </c>
      <c r="U43" s="75" t="s">
        <v>197</v>
      </c>
      <c r="V43" s="56"/>
      <c r="W43" s="56"/>
      <c r="X43" s="56"/>
      <c r="Y43" s="56"/>
      <c r="Z43" s="76"/>
    </row>
    <row r="44" spans="2:26" x14ac:dyDescent="0.3">
      <c r="B44" s="3" t="s">
        <v>349</v>
      </c>
      <c r="C44" s="202" t="s">
        <v>50</v>
      </c>
      <c r="D44" s="3" t="s">
        <v>51</v>
      </c>
      <c r="E44" s="203" t="s">
        <v>52</v>
      </c>
      <c r="F44" s="174" t="s">
        <v>53</v>
      </c>
      <c r="G44" s="7" t="s">
        <v>56</v>
      </c>
      <c r="H44" s="8"/>
      <c r="N44" s="3">
        <v>15</v>
      </c>
      <c r="O44" s="18" t="s">
        <v>125</v>
      </c>
      <c r="P44" s="18" t="s">
        <v>165</v>
      </c>
      <c r="Q44" s="18">
        <f>Q42*2.5</f>
        <v>34.722222222222221</v>
      </c>
      <c r="R44" s="18" t="s">
        <v>115</v>
      </c>
      <c r="S44" s="2" t="s">
        <v>171</v>
      </c>
      <c r="U44" s="75"/>
      <c r="V44" s="56"/>
      <c r="W44" s="56"/>
      <c r="X44" s="56"/>
      <c r="Y44" s="56"/>
      <c r="Z44" s="76"/>
    </row>
    <row r="45" spans="2:26" x14ac:dyDescent="0.3">
      <c r="B45" s="194">
        <v>1</v>
      </c>
      <c r="C45" s="72" t="s">
        <v>350</v>
      </c>
      <c r="D45" s="204" t="s">
        <v>351</v>
      </c>
      <c r="E45" s="195">
        <v>2</v>
      </c>
      <c r="F45" s="196" t="s">
        <v>32</v>
      </c>
      <c r="G45" s="57"/>
      <c r="H45" s="60"/>
      <c r="N45" s="3">
        <v>16</v>
      </c>
      <c r="O45" s="2" t="s">
        <v>126</v>
      </c>
      <c r="P45" s="25" t="s">
        <v>167</v>
      </c>
      <c r="Q45" s="2">
        <v>3.3</v>
      </c>
      <c r="R45" s="16" t="s">
        <v>32</v>
      </c>
      <c r="S45" s="16"/>
      <c r="U45" s="75" t="s">
        <v>385</v>
      </c>
      <c r="V45" s="56"/>
      <c r="W45" s="56"/>
      <c r="X45" s="56"/>
      <c r="Y45" s="56"/>
      <c r="Z45" s="76"/>
    </row>
    <row r="46" spans="2:26" x14ac:dyDescent="0.3">
      <c r="B46" s="194">
        <v>2</v>
      </c>
      <c r="C46" s="72" t="s">
        <v>353</v>
      </c>
      <c r="D46" s="204" t="s">
        <v>352</v>
      </c>
      <c r="E46" s="195">
        <v>3.3</v>
      </c>
      <c r="F46" s="196" t="s">
        <v>32</v>
      </c>
      <c r="G46" s="57"/>
      <c r="H46" s="60"/>
      <c r="N46" s="3">
        <v>17</v>
      </c>
      <c r="O46" s="2" t="s">
        <v>152</v>
      </c>
      <c r="P46" s="2" t="s">
        <v>168</v>
      </c>
      <c r="Q46" s="2">
        <f>Q45/(Q44*10^-3)</f>
        <v>95.039999999999992</v>
      </c>
      <c r="R46" s="27" t="s">
        <v>92</v>
      </c>
      <c r="S46" s="2" t="s">
        <v>172</v>
      </c>
      <c r="T46">
        <f>Q46*2</f>
        <v>190.07999999999998</v>
      </c>
      <c r="U46" s="75"/>
      <c r="V46" s="56" t="s">
        <v>386</v>
      </c>
      <c r="W46" s="56"/>
      <c r="X46" s="56"/>
      <c r="Y46" s="56"/>
      <c r="Z46" s="76"/>
    </row>
    <row r="47" spans="2:26" x14ac:dyDescent="0.3">
      <c r="B47" s="194">
        <v>3</v>
      </c>
      <c r="C47" s="72" t="s">
        <v>72</v>
      </c>
      <c r="D47" s="204" t="s">
        <v>340</v>
      </c>
      <c r="E47" s="195">
        <f>E46/2</f>
        <v>1.65</v>
      </c>
      <c r="F47" s="60"/>
      <c r="G47" s="188" t="s">
        <v>363</v>
      </c>
      <c r="H47" s="190"/>
      <c r="N47" s="3">
        <v>18</v>
      </c>
      <c r="O47" s="2" t="s">
        <v>153</v>
      </c>
      <c r="P47" s="2" t="s">
        <v>169</v>
      </c>
      <c r="Q47" s="2">
        <f>187/2</f>
        <v>93.5</v>
      </c>
      <c r="R47" s="27" t="s">
        <v>92</v>
      </c>
      <c r="S47" s="2" t="s">
        <v>378</v>
      </c>
      <c r="U47" s="75"/>
      <c r="V47" s="56" t="s">
        <v>387</v>
      </c>
      <c r="W47" s="56"/>
      <c r="X47" s="56"/>
      <c r="Y47" s="56"/>
      <c r="Z47" s="76"/>
    </row>
    <row r="48" spans="2:26" x14ac:dyDescent="0.3">
      <c r="B48" s="194">
        <v>4</v>
      </c>
      <c r="C48" s="72" t="s">
        <v>347</v>
      </c>
      <c r="D48" s="173" t="s">
        <v>34</v>
      </c>
      <c r="E48" s="197">
        <v>5.64</v>
      </c>
      <c r="F48" s="198" t="s">
        <v>38</v>
      </c>
      <c r="G48" s="132">
        <f>E49/E47</f>
        <v>5.6363636363636367</v>
      </c>
      <c r="H48" s="76" t="s">
        <v>354</v>
      </c>
      <c r="N48" s="3">
        <v>19</v>
      </c>
      <c r="O48" s="2" t="s">
        <v>154</v>
      </c>
      <c r="P48" s="2" t="s">
        <v>170</v>
      </c>
      <c r="Q48" s="2">
        <f>(Q44*10^-3)^2*Q47</f>
        <v>0.1127266589506173</v>
      </c>
      <c r="R48" s="27" t="s">
        <v>119</v>
      </c>
      <c r="S48" s="2" t="s">
        <v>174</v>
      </c>
      <c r="U48" s="77" t="s">
        <v>383</v>
      </c>
      <c r="V48" s="61"/>
      <c r="W48" s="61"/>
      <c r="X48" s="61"/>
      <c r="Y48" s="61"/>
      <c r="Z48" s="62"/>
    </row>
    <row r="49" spans="2:20" x14ac:dyDescent="0.3">
      <c r="B49" s="101">
        <v>5</v>
      </c>
      <c r="C49" s="191" t="s">
        <v>348</v>
      </c>
      <c r="D49" s="187" t="s">
        <v>36</v>
      </c>
      <c r="E49" s="199">
        <f>9.3</f>
        <v>9.3000000000000007</v>
      </c>
      <c r="F49" s="200" t="s">
        <v>38</v>
      </c>
      <c r="G49" s="192"/>
      <c r="H49" s="193"/>
      <c r="N49" s="3">
        <v>20</v>
      </c>
      <c r="O49" s="41" t="s">
        <v>155</v>
      </c>
      <c r="P49" s="41" t="s">
        <v>166</v>
      </c>
      <c r="Q49" s="41">
        <f>Q47*Q44*10^-3</f>
        <v>3.2465277777777777</v>
      </c>
      <c r="R49" s="42" t="s">
        <v>32</v>
      </c>
      <c r="S49" s="44" t="s">
        <v>157</v>
      </c>
      <c r="T49">
        <f>Q49/3.3*2^12</f>
        <v>4029.6296296296296</v>
      </c>
    </row>
    <row r="50" spans="2:20" x14ac:dyDescent="0.3">
      <c r="B50" s="57"/>
      <c r="C50" s="72" t="s">
        <v>259</v>
      </c>
      <c r="D50" s="23"/>
      <c r="E50" s="132"/>
      <c r="F50" s="56"/>
      <c r="G50" s="59"/>
      <c r="H50" s="59"/>
      <c r="N50" s="78" t="s">
        <v>207</v>
      </c>
      <c r="O50" s="79"/>
      <c r="P50" s="79"/>
      <c r="Q50" s="79"/>
      <c r="R50" s="80"/>
      <c r="S50" s="81"/>
    </row>
    <row r="51" spans="2:20" x14ac:dyDescent="0.3">
      <c r="B51" s="57"/>
      <c r="C51" s="72" t="s">
        <v>365</v>
      </c>
      <c r="D51" s="23"/>
      <c r="E51" s="132"/>
      <c r="F51" s="56"/>
      <c r="G51" s="57"/>
      <c r="H51" s="57"/>
      <c r="N51" s="82" t="s">
        <v>383</v>
      </c>
      <c r="O51" s="83"/>
      <c r="P51" s="83"/>
      <c r="Q51" s="83"/>
      <c r="R51" s="84"/>
      <c r="S51" s="85">
        <f>(Q49*Q39*Q41*10^3)/(Q29*Q47)</f>
        <v>849.99999999999989</v>
      </c>
    </row>
    <row r="52" spans="2:20" x14ac:dyDescent="0.3">
      <c r="B52" s="57"/>
      <c r="C52" s="72"/>
      <c r="D52" s="23"/>
      <c r="E52" s="132"/>
      <c r="F52" s="56"/>
      <c r="G52" s="57"/>
      <c r="H52" s="57"/>
    </row>
    <row r="53" spans="2:20" ht="17.25" thickBot="1" x14ac:dyDescent="0.35">
      <c r="B53" s="9" t="s">
        <v>364</v>
      </c>
      <c r="G53" s="59"/>
      <c r="H53" s="59"/>
    </row>
    <row r="54" spans="2:20" x14ac:dyDescent="0.3">
      <c r="B54" s="30" t="s">
        <v>100</v>
      </c>
      <c r="C54" s="31"/>
      <c r="D54" s="31"/>
      <c r="E54" s="31"/>
      <c r="F54" s="32"/>
      <c r="G54" s="59"/>
      <c r="H54" s="59"/>
      <c r="N54" s="9" t="s">
        <v>67</v>
      </c>
    </row>
    <row r="55" spans="2:20" x14ac:dyDescent="0.3">
      <c r="B55" s="87" t="s">
        <v>366</v>
      </c>
      <c r="C55" s="56"/>
      <c r="D55" s="56"/>
      <c r="E55" s="56"/>
      <c r="F55" s="34"/>
      <c r="G55" s="57"/>
      <c r="H55" s="57"/>
      <c r="N55" t="s">
        <v>195</v>
      </c>
    </row>
    <row r="56" spans="2:20" x14ac:dyDescent="0.3">
      <c r="B56" s="205" t="s">
        <v>370</v>
      </c>
      <c r="C56" s="56"/>
      <c r="D56" s="56"/>
      <c r="E56" s="56"/>
      <c r="F56" s="34"/>
      <c r="G56" s="57"/>
      <c r="H56" s="57"/>
    </row>
    <row r="57" spans="2:20" x14ac:dyDescent="0.3">
      <c r="B57" s="206" t="s">
        <v>371</v>
      </c>
      <c r="C57" s="56"/>
      <c r="D57" s="56"/>
      <c r="E57" s="56"/>
      <c r="F57" s="34"/>
      <c r="G57" s="57"/>
      <c r="H57" s="57"/>
      <c r="N57" s="9" t="s">
        <v>87</v>
      </c>
    </row>
    <row r="58" spans="2:20" x14ac:dyDescent="0.3">
      <c r="B58" s="206"/>
      <c r="C58" s="56">
        <f>(E32*( (I34*I36)+I37))/I37</f>
        <v>850</v>
      </c>
      <c r="D58" s="56" t="s">
        <v>32</v>
      </c>
      <c r="E58" s="56"/>
      <c r="F58" s="34"/>
      <c r="G58" s="57"/>
      <c r="H58" s="57"/>
      <c r="N58" t="s">
        <v>195</v>
      </c>
    </row>
    <row r="59" spans="2:20" x14ac:dyDescent="0.3">
      <c r="B59" s="87" t="s">
        <v>313</v>
      </c>
      <c r="C59" s="56"/>
      <c r="D59" s="56"/>
      <c r="E59" s="56"/>
      <c r="F59" s="34"/>
      <c r="G59" s="57"/>
      <c r="H59" s="57"/>
    </row>
    <row r="60" spans="2:20" ht="17.25" thickBot="1" x14ac:dyDescent="0.35">
      <c r="B60" s="207" t="s">
        <v>365</v>
      </c>
      <c r="C60" s="56"/>
      <c r="D60" s="56"/>
      <c r="E60" s="56"/>
      <c r="F60" s="34"/>
      <c r="G60" s="57"/>
      <c r="H60" s="57"/>
      <c r="N60" s="9" t="s">
        <v>111</v>
      </c>
    </row>
    <row r="61" spans="2:20" x14ac:dyDescent="0.3">
      <c r="B61" s="87" t="s">
        <v>372</v>
      </c>
      <c r="C61" s="56"/>
      <c r="D61" s="56"/>
      <c r="E61" s="56"/>
      <c r="F61" s="34"/>
      <c r="G61" s="57"/>
      <c r="H61" s="57"/>
      <c r="N61" s="30" t="s">
        <v>100</v>
      </c>
      <c r="O61" s="31"/>
      <c r="P61" s="31"/>
      <c r="Q61" s="31"/>
      <c r="R61" s="31"/>
      <c r="S61" s="32"/>
    </row>
    <row r="62" spans="2:20" x14ac:dyDescent="0.3">
      <c r="B62" s="87"/>
      <c r="C62" s="56"/>
      <c r="D62" s="56"/>
      <c r="E62" s="56"/>
      <c r="F62" s="34"/>
      <c r="G62" s="57"/>
      <c r="H62" s="57"/>
      <c r="N62" s="33" t="s">
        <v>388</v>
      </c>
      <c r="O62" s="56"/>
      <c r="P62" s="56"/>
      <c r="Q62" s="56"/>
      <c r="R62" s="56"/>
      <c r="S62" s="34"/>
    </row>
    <row r="63" spans="2:20" x14ac:dyDescent="0.3">
      <c r="B63" s="87" t="s">
        <v>368</v>
      </c>
      <c r="C63" s="56"/>
      <c r="D63" s="56"/>
      <c r="E63" s="56"/>
      <c r="F63" s="34"/>
      <c r="G63" s="57"/>
      <c r="H63" s="57"/>
      <c r="N63" s="207" t="s">
        <v>383</v>
      </c>
      <c r="O63" s="56"/>
      <c r="P63" s="56"/>
      <c r="Q63" s="56"/>
      <c r="R63" s="56"/>
      <c r="S63" s="34"/>
    </row>
    <row r="64" spans="2:20" x14ac:dyDescent="0.3">
      <c r="B64" s="33" t="s">
        <v>102</v>
      </c>
      <c r="C64" s="56"/>
      <c r="D64" s="56"/>
      <c r="E64" s="56"/>
      <c r="F64" s="34"/>
      <c r="G64" s="57"/>
      <c r="H64" s="57"/>
      <c r="N64" s="33"/>
      <c r="O64" s="56"/>
      <c r="P64" s="56"/>
      <c r="Q64" s="56"/>
      <c r="R64" s="56"/>
      <c r="S64" s="34"/>
    </row>
    <row r="65" spans="2:21" x14ac:dyDescent="0.3">
      <c r="B65" s="208"/>
      <c r="C65" s="56"/>
      <c r="D65" s="56"/>
      <c r="E65" s="56"/>
      <c r="F65" s="34"/>
      <c r="N65" s="87" t="s">
        <v>368</v>
      </c>
      <c r="O65" s="56"/>
      <c r="P65" s="56"/>
      <c r="Q65" s="56"/>
      <c r="R65" s="56"/>
      <c r="S65" s="34"/>
    </row>
    <row r="66" spans="2:21" x14ac:dyDescent="0.3">
      <c r="B66" s="209" t="s">
        <v>369</v>
      </c>
      <c r="C66" s="56"/>
      <c r="D66" s="56"/>
      <c r="E66" s="56"/>
      <c r="F66" s="34"/>
      <c r="N66" s="33" t="s">
        <v>102</v>
      </c>
      <c r="O66" s="56"/>
      <c r="P66" s="56"/>
      <c r="Q66" s="56"/>
      <c r="R66" s="56"/>
      <c r="S66" s="34"/>
    </row>
    <row r="67" spans="2:21" x14ac:dyDescent="0.3">
      <c r="B67" s="206" t="s">
        <v>373</v>
      </c>
      <c r="C67" s="56"/>
      <c r="D67" s="56"/>
      <c r="E67" s="56"/>
      <c r="F67" s="34"/>
      <c r="N67" s="87"/>
      <c r="O67" s="56"/>
      <c r="P67" s="56"/>
      <c r="Q67" s="56"/>
      <c r="R67" s="56"/>
      <c r="S67" s="34"/>
    </row>
    <row r="68" spans="2:21" x14ac:dyDescent="0.3">
      <c r="B68" s="33"/>
      <c r="C68" s="56" t="s">
        <v>374</v>
      </c>
      <c r="D68" s="56"/>
      <c r="E68" s="56"/>
      <c r="F68" s="34"/>
      <c r="N68" s="209" t="s">
        <v>369</v>
      </c>
      <c r="O68" s="56"/>
      <c r="P68" s="56"/>
      <c r="Q68" s="56"/>
      <c r="R68" s="56"/>
      <c r="S68" s="34"/>
    </row>
    <row r="69" spans="2:21" x14ac:dyDescent="0.3">
      <c r="B69" s="33"/>
      <c r="C69" s="56" t="s">
        <v>375</v>
      </c>
      <c r="D69" s="56"/>
      <c r="E69" s="56"/>
      <c r="F69" s="34"/>
      <c r="N69" s="88" t="s">
        <v>383</v>
      </c>
      <c r="O69" s="56"/>
      <c r="P69" s="56"/>
      <c r="Q69" s="56"/>
      <c r="R69" s="56"/>
      <c r="S69" s="34"/>
    </row>
    <row r="70" spans="2:21" ht="17.25" thickBot="1" x14ac:dyDescent="0.35">
      <c r="B70" s="184"/>
      <c r="C70" s="90">
        <f>( ( (4096/2^12*3.3) / E47)*((I34*I36)+I37))/I37</f>
        <v>850</v>
      </c>
      <c r="D70" s="90"/>
      <c r="E70" s="90"/>
      <c r="F70" s="40"/>
      <c r="N70" s="89"/>
      <c r="O70" s="90" t="s">
        <v>389</v>
      </c>
      <c r="P70" s="90"/>
      <c r="Q70" s="90"/>
      <c r="R70" s="90" t="s">
        <v>390</v>
      </c>
      <c r="S70" s="210">
        <f>( (T49/2^12*3.3)*Q37*Q41*10^3)/(Q29*Q47)</f>
        <v>849.99999999999989</v>
      </c>
    </row>
    <row r="76" spans="2:21" x14ac:dyDescent="0.3">
      <c r="U76">
        <f>2^12</f>
        <v>4096</v>
      </c>
    </row>
    <row r="81" spans="20:20" x14ac:dyDescent="0.3">
      <c r="T81" s="10">
        <f>Q49/3.3*4096</f>
        <v>4029.6296296296296</v>
      </c>
    </row>
    <row r="82" spans="20:20" x14ac:dyDescent="0.3">
      <c r="T82" t="e">
        <f>N68/850</f>
        <v>#VALUE!</v>
      </c>
    </row>
  </sheetData>
  <mergeCells count="12">
    <mergeCell ref="U39:Z39"/>
    <mergeCell ref="N26:R26"/>
    <mergeCell ref="N27:R27"/>
    <mergeCell ref="F43:G43"/>
    <mergeCell ref="G44:H44"/>
    <mergeCell ref="G50:H50"/>
    <mergeCell ref="G53:H53"/>
    <mergeCell ref="G54:H54"/>
    <mergeCell ref="E25:H25"/>
    <mergeCell ref="I25:K25"/>
    <mergeCell ref="G26:H26"/>
    <mergeCell ref="K26:L26"/>
  </mergeCells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EBD862-2CAF-4B58-8D35-5AF68D415ABE}">
  <dimension ref="B1:T97"/>
  <sheetViews>
    <sheetView tabSelected="1" topLeftCell="A19" zoomScale="85" zoomScaleNormal="85" workbookViewId="0">
      <selection activeCell="S26" sqref="S26"/>
    </sheetView>
  </sheetViews>
  <sheetFormatPr defaultRowHeight="16.5" x14ac:dyDescent="0.3"/>
  <cols>
    <col min="3" max="3" width="23.25" customWidth="1"/>
    <col min="5" max="5" width="12.75" customWidth="1"/>
    <col min="6" max="6" width="12.5" bestFit="1" customWidth="1"/>
    <col min="7" max="7" width="34" customWidth="1"/>
    <col min="12" max="12" width="22.125" customWidth="1"/>
    <col min="14" max="14" width="11.5" customWidth="1"/>
    <col min="15" max="15" width="11.625" bestFit="1" customWidth="1"/>
    <col min="16" max="16" width="27.875" customWidth="1"/>
  </cols>
  <sheetData>
    <row r="1" spans="2:16" ht="17.25" x14ac:dyDescent="0.3">
      <c r="B1" s="28" t="s">
        <v>392</v>
      </c>
    </row>
    <row r="2" spans="2:16" ht="17.25" x14ac:dyDescent="0.3">
      <c r="B2" s="29" t="s">
        <v>217</v>
      </c>
    </row>
    <row r="4" spans="2:16" x14ac:dyDescent="0.3">
      <c r="B4" s="9" t="s">
        <v>393</v>
      </c>
      <c r="K4" s="9" t="s">
        <v>419</v>
      </c>
    </row>
    <row r="6" spans="2:16" x14ac:dyDescent="0.3">
      <c r="B6" s="9" t="s">
        <v>397</v>
      </c>
      <c r="G6" s="26" t="s">
        <v>88</v>
      </c>
      <c r="K6" s="9" t="s">
        <v>397</v>
      </c>
    </row>
    <row r="7" spans="2:16" x14ac:dyDescent="0.3">
      <c r="B7" s="5" t="s">
        <v>394</v>
      </c>
      <c r="C7" s="5"/>
      <c r="D7" s="5"/>
      <c r="E7" s="5"/>
      <c r="F7" s="5"/>
      <c r="G7" s="2"/>
      <c r="H7">
        <f>12000/750/2</f>
        <v>8</v>
      </c>
      <c r="K7" s="5" t="s">
        <v>420</v>
      </c>
      <c r="L7" s="5"/>
      <c r="M7" s="5"/>
      <c r="N7" s="5"/>
      <c r="O7" s="5"/>
      <c r="P7" s="2"/>
    </row>
    <row r="8" spans="2:16" x14ac:dyDescent="0.3">
      <c r="B8" s="5" t="s">
        <v>219</v>
      </c>
      <c r="C8" s="5"/>
      <c r="D8" s="5"/>
      <c r="E8" s="5"/>
      <c r="F8" s="5"/>
      <c r="G8" s="2"/>
      <c r="K8" s="5" t="s">
        <v>291</v>
      </c>
      <c r="L8" s="5"/>
      <c r="M8" s="5"/>
      <c r="N8" s="5"/>
      <c r="O8" s="5"/>
      <c r="P8" s="2"/>
    </row>
    <row r="9" spans="2:16" x14ac:dyDescent="0.3">
      <c r="B9" s="3" t="s">
        <v>21</v>
      </c>
      <c r="C9" s="3" t="s">
        <v>50</v>
      </c>
      <c r="D9" s="3" t="s">
        <v>51</v>
      </c>
      <c r="E9" s="3" t="s">
        <v>52</v>
      </c>
      <c r="F9" s="3" t="s">
        <v>53</v>
      </c>
      <c r="G9" s="2" t="s">
        <v>56</v>
      </c>
      <c r="K9" s="3" t="s">
        <v>21</v>
      </c>
      <c r="L9" s="3" t="s">
        <v>50</v>
      </c>
      <c r="M9" s="3" t="s">
        <v>51</v>
      </c>
      <c r="N9" s="3" t="s">
        <v>52</v>
      </c>
      <c r="O9" s="3" t="s">
        <v>53</v>
      </c>
      <c r="P9" s="2" t="s">
        <v>56</v>
      </c>
    </row>
    <row r="10" spans="2:16" x14ac:dyDescent="0.3">
      <c r="B10" s="3">
        <v>1</v>
      </c>
      <c r="C10" s="2" t="s">
        <v>222</v>
      </c>
      <c r="D10" s="18" t="s">
        <v>220</v>
      </c>
      <c r="E10" s="2">
        <v>7.5</v>
      </c>
      <c r="F10" s="2" t="s">
        <v>221</v>
      </c>
      <c r="G10" s="2"/>
      <c r="K10" s="3">
        <v>1</v>
      </c>
      <c r="L10" s="2" t="s">
        <v>222</v>
      </c>
      <c r="M10" s="18" t="s">
        <v>220</v>
      </c>
      <c r="N10" s="2">
        <v>25</v>
      </c>
      <c r="O10" s="2" t="s">
        <v>221</v>
      </c>
      <c r="P10" s="2"/>
    </row>
    <row r="11" spans="2:16" x14ac:dyDescent="0.3">
      <c r="B11" s="3"/>
      <c r="C11" s="2" t="s">
        <v>223</v>
      </c>
      <c r="D11" s="18" t="s">
        <v>225</v>
      </c>
      <c r="E11" s="92" t="s">
        <v>395</v>
      </c>
      <c r="F11" s="2" t="s">
        <v>221</v>
      </c>
      <c r="G11" s="2"/>
      <c r="K11" s="3">
        <v>2</v>
      </c>
      <c r="L11" s="2" t="s">
        <v>223</v>
      </c>
      <c r="M11" s="18" t="s">
        <v>225</v>
      </c>
      <c r="N11" s="92" t="s">
        <v>275</v>
      </c>
      <c r="O11" s="2" t="s">
        <v>221</v>
      </c>
      <c r="P11" s="2"/>
    </row>
    <row r="12" spans="2:16" x14ac:dyDescent="0.3">
      <c r="B12" s="3"/>
      <c r="C12" s="2" t="s">
        <v>226</v>
      </c>
      <c r="D12" s="18" t="s">
        <v>227</v>
      </c>
      <c r="E12" s="2">
        <v>125</v>
      </c>
      <c r="F12" s="2" t="s">
        <v>221</v>
      </c>
      <c r="G12" s="2"/>
      <c r="K12" s="99">
        <v>3</v>
      </c>
      <c r="L12" s="13" t="s">
        <v>285</v>
      </c>
      <c r="M12" s="13" t="s">
        <v>276</v>
      </c>
      <c r="N12" s="2" t="s">
        <v>277</v>
      </c>
      <c r="O12" s="27" t="s">
        <v>92</v>
      </c>
      <c r="P12" s="2" t="s">
        <v>278</v>
      </c>
    </row>
    <row r="13" spans="2:16" x14ac:dyDescent="0.3">
      <c r="B13" s="3"/>
      <c r="C13" s="2" t="s">
        <v>81</v>
      </c>
      <c r="D13" s="18" t="s">
        <v>228</v>
      </c>
      <c r="E13" s="92" t="s">
        <v>229</v>
      </c>
      <c r="F13" s="2" t="s">
        <v>32</v>
      </c>
      <c r="G13" s="2"/>
      <c r="K13" s="161"/>
      <c r="L13" s="13"/>
      <c r="M13" s="13"/>
      <c r="N13" s="2" t="s">
        <v>279</v>
      </c>
      <c r="O13" s="27" t="s">
        <v>92</v>
      </c>
      <c r="P13" s="2" t="s">
        <v>280</v>
      </c>
    </row>
    <row r="14" spans="2:16" x14ac:dyDescent="0.3">
      <c r="B14" s="3"/>
      <c r="C14" s="2" t="s">
        <v>230</v>
      </c>
      <c r="D14" s="2" t="s">
        <v>40</v>
      </c>
      <c r="E14" s="96">
        <f>0.625/E10*10^3</f>
        <v>83.333333333333329</v>
      </c>
      <c r="F14" s="2" t="s">
        <v>231</v>
      </c>
      <c r="G14" s="2" t="s">
        <v>396</v>
      </c>
      <c r="K14" s="161"/>
      <c r="L14" s="13"/>
      <c r="M14" s="13"/>
      <c r="N14" s="2" t="s">
        <v>281</v>
      </c>
      <c r="O14" s="27" t="s">
        <v>92</v>
      </c>
      <c r="P14" s="2" t="s">
        <v>282</v>
      </c>
    </row>
    <row r="15" spans="2:16" x14ac:dyDescent="0.3">
      <c r="B15" s="2"/>
      <c r="C15" s="18" t="s">
        <v>232</v>
      </c>
      <c r="D15" s="18" t="s">
        <v>233</v>
      </c>
      <c r="E15" s="93">
        <v>1000</v>
      </c>
      <c r="F15" s="2"/>
      <c r="G15" s="2"/>
      <c r="K15" s="100"/>
      <c r="L15" s="13"/>
      <c r="M15" s="13"/>
      <c r="N15" s="2" t="s">
        <v>283</v>
      </c>
      <c r="O15" s="27" t="s">
        <v>92</v>
      </c>
      <c r="P15" s="2" t="s">
        <v>284</v>
      </c>
    </row>
    <row r="16" spans="2:16" x14ac:dyDescent="0.3">
      <c r="B16" s="2"/>
      <c r="C16" s="18" t="s">
        <v>234</v>
      </c>
      <c r="D16" s="18" t="s">
        <v>235</v>
      </c>
      <c r="E16" s="18">
        <v>5</v>
      </c>
      <c r="F16" s="2" t="s">
        <v>32</v>
      </c>
      <c r="G16" s="2"/>
      <c r="K16" s="3">
        <v>4</v>
      </c>
      <c r="L16" s="2" t="s">
        <v>286</v>
      </c>
      <c r="M16" s="2" t="s">
        <v>288</v>
      </c>
      <c r="N16" s="2">
        <v>25</v>
      </c>
      <c r="O16" s="163" t="s">
        <v>115</v>
      </c>
      <c r="P16" s="2"/>
    </row>
    <row r="17" spans="2:17" ht="17.25" thickBot="1" x14ac:dyDescent="0.35">
      <c r="B17" s="58"/>
      <c r="C17" s="146" t="s">
        <v>236</v>
      </c>
      <c r="D17" s="146" t="s">
        <v>237</v>
      </c>
      <c r="E17" s="147" t="s">
        <v>238</v>
      </c>
      <c r="F17" s="58" t="s">
        <v>115</v>
      </c>
      <c r="G17" s="58"/>
      <c r="K17" s="164">
        <v>5</v>
      </c>
      <c r="L17" s="58" t="s">
        <v>287</v>
      </c>
      <c r="M17" s="58" t="s">
        <v>289</v>
      </c>
      <c r="N17" s="58">
        <v>1000</v>
      </c>
      <c r="O17" s="58"/>
      <c r="P17" s="58"/>
    </row>
    <row r="18" spans="2:17" x14ac:dyDescent="0.3">
      <c r="B18" s="149"/>
      <c r="C18" s="150" t="s">
        <v>239</v>
      </c>
      <c r="D18" s="151" t="s">
        <v>220</v>
      </c>
      <c r="E18" s="152">
        <f>12000/750/2</f>
        <v>8</v>
      </c>
      <c r="F18" s="151" t="s">
        <v>221</v>
      </c>
      <c r="G18" s="153" t="s">
        <v>246</v>
      </c>
      <c r="K18" s="2"/>
      <c r="L18" s="25" t="s">
        <v>239</v>
      </c>
      <c r="M18" s="18" t="s">
        <v>309</v>
      </c>
      <c r="N18" s="102">
        <f>12000/750/2</f>
        <v>8</v>
      </c>
      <c r="O18" s="18" t="s">
        <v>221</v>
      </c>
      <c r="P18" s="2" t="s">
        <v>246</v>
      </c>
    </row>
    <row r="19" spans="2:17" x14ac:dyDescent="0.3">
      <c r="B19" s="154"/>
      <c r="C19" s="18" t="s">
        <v>240</v>
      </c>
      <c r="D19" s="18" t="s">
        <v>241</v>
      </c>
      <c r="E19" s="96">
        <f>E18</f>
        <v>8</v>
      </c>
      <c r="F19" s="18" t="s">
        <v>221</v>
      </c>
      <c r="G19" s="155" t="s">
        <v>261</v>
      </c>
      <c r="K19" s="2"/>
      <c r="L19" s="18" t="s">
        <v>240</v>
      </c>
      <c r="M19" s="169" t="s">
        <v>308</v>
      </c>
      <c r="N19" s="96">
        <f>N18</f>
        <v>8</v>
      </c>
      <c r="O19" s="18" t="s">
        <v>221</v>
      </c>
      <c r="P19" s="2" t="s">
        <v>421</v>
      </c>
    </row>
    <row r="20" spans="2:17" x14ac:dyDescent="0.3">
      <c r="B20" s="154"/>
      <c r="C20" s="97" t="s">
        <v>81</v>
      </c>
      <c r="D20" s="18" t="s">
        <v>242</v>
      </c>
      <c r="E20" s="211">
        <f>2.5+(E19*E14*10^-3)</f>
        <v>3.1666666666666665</v>
      </c>
      <c r="F20" s="18" t="s">
        <v>32</v>
      </c>
      <c r="G20" s="155" t="s">
        <v>244</v>
      </c>
      <c r="K20" s="2"/>
      <c r="L20" s="18" t="s">
        <v>294</v>
      </c>
      <c r="M20" s="18" t="s">
        <v>165</v>
      </c>
      <c r="N20" s="96">
        <f>N19/N17*10^3</f>
        <v>8</v>
      </c>
      <c r="O20" s="18" t="s">
        <v>115</v>
      </c>
      <c r="P20" s="2"/>
    </row>
    <row r="21" spans="2:17" ht="17.25" thickBot="1" x14ac:dyDescent="0.35">
      <c r="B21" s="156"/>
      <c r="C21" s="157"/>
      <c r="D21" s="158" t="s">
        <v>243</v>
      </c>
      <c r="E21" s="212">
        <f>2.5-(E19*E14*10^-3)</f>
        <v>1.8333333333333335</v>
      </c>
      <c r="F21" s="158" t="s">
        <v>32</v>
      </c>
      <c r="G21" s="160" t="s">
        <v>245</v>
      </c>
      <c r="K21" s="2"/>
      <c r="L21" s="18" t="s">
        <v>292</v>
      </c>
      <c r="M21" s="2"/>
      <c r="N21" s="91">
        <v>3.3</v>
      </c>
      <c r="O21" s="18" t="s">
        <v>32</v>
      </c>
      <c r="P21" s="165" t="s">
        <v>295</v>
      </c>
    </row>
    <row r="22" spans="2:17" x14ac:dyDescent="0.3">
      <c r="K22" s="2"/>
      <c r="L22" s="18" t="s">
        <v>299</v>
      </c>
      <c r="M22" s="2" t="s">
        <v>297</v>
      </c>
      <c r="N22" s="96">
        <v>400</v>
      </c>
      <c r="O22" s="27" t="s">
        <v>92</v>
      </c>
      <c r="P22" s="14"/>
    </row>
    <row r="23" spans="2:17" x14ac:dyDescent="0.3">
      <c r="B23" s="9" t="s">
        <v>424</v>
      </c>
      <c r="K23" s="2"/>
      <c r="L23" s="18" t="s">
        <v>298</v>
      </c>
      <c r="M23" s="2" t="s">
        <v>296</v>
      </c>
      <c r="N23" s="2">
        <f>806/2</f>
        <v>403</v>
      </c>
      <c r="O23" s="27" t="s">
        <v>92</v>
      </c>
      <c r="P23" s="221" t="s">
        <v>422</v>
      </c>
    </row>
    <row r="24" spans="2:17" x14ac:dyDescent="0.3">
      <c r="B24" s="46" t="s">
        <v>41</v>
      </c>
      <c r="C24" s="46" t="s">
        <v>173</v>
      </c>
      <c r="D24" s="51">
        <f>C28</f>
        <v>2.4750000000000005</v>
      </c>
      <c r="E24" s="46" t="s">
        <v>42</v>
      </c>
      <c r="F24" s="46" t="s">
        <v>247</v>
      </c>
      <c r="G24" s="51">
        <f>F29</f>
        <v>4.5375000000000014</v>
      </c>
      <c r="H24" s="48"/>
      <c r="K24" s="2"/>
      <c r="L24" s="18" t="s">
        <v>305</v>
      </c>
      <c r="M24" s="2" t="s">
        <v>306</v>
      </c>
      <c r="N24" s="2">
        <f>(N20*10^-3)^2*N22</f>
        <v>2.5599999999999998E-2</v>
      </c>
      <c r="O24" s="27" t="s">
        <v>119</v>
      </c>
      <c r="P24" s="167" t="s">
        <v>307</v>
      </c>
    </row>
    <row r="25" spans="2:17" x14ac:dyDescent="0.3">
      <c r="B25" s="49" t="s">
        <v>175</v>
      </c>
      <c r="C25" s="47">
        <v>3.3</v>
      </c>
      <c r="D25" s="48" t="s">
        <v>32</v>
      </c>
      <c r="E25" s="48"/>
      <c r="F25" s="48"/>
      <c r="G25" s="48"/>
      <c r="H25" s="48"/>
      <c r="K25" s="2"/>
      <c r="L25" s="166" t="s">
        <v>301</v>
      </c>
      <c r="M25" s="2" t="s">
        <v>303</v>
      </c>
      <c r="N25" s="98">
        <f>(N20*10^-3)*N23</f>
        <v>3.2240000000000002</v>
      </c>
      <c r="O25" s="18" t="s">
        <v>32</v>
      </c>
      <c r="P25" s="2" t="s">
        <v>302</v>
      </c>
    </row>
    <row r="26" spans="2:17" x14ac:dyDescent="0.3">
      <c r="B26" s="49" t="s">
        <v>177</v>
      </c>
      <c r="C26" s="213">
        <f>E21</f>
        <v>1.8333333333333335</v>
      </c>
      <c r="D26" s="49" t="s">
        <v>32</v>
      </c>
      <c r="E26" s="50" t="s">
        <v>178</v>
      </c>
      <c r="F26" s="50" t="s">
        <v>179</v>
      </c>
      <c r="G26" s="47">
        <v>0</v>
      </c>
      <c r="H26" s="49" t="s">
        <v>32</v>
      </c>
      <c r="K26" s="2" t="s">
        <v>259</v>
      </c>
      <c r="L26" s="166" t="s">
        <v>423</v>
      </c>
      <c r="M26" s="2"/>
      <c r="N26" s="98"/>
      <c r="O26" s="18"/>
      <c r="P26" s="2"/>
    </row>
    <row r="27" spans="2:17" x14ac:dyDescent="0.3">
      <c r="B27" s="49" t="s">
        <v>180</v>
      </c>
      <c r="C27" s="213">
        <f>E20</f>
        <v>3.1666666666666665</v>
      </c>
      <c r="D27" s="49" t="s">
        <v>32</v>
      </c>
      <c r="E27" s="50" t="s">
        <v>178</v>
      </c>
      <c r="F27" s="50" t="s">
        <v>181</v>
      </c>
      <c r="G27" s="47">
        <v>3.3</v>
      </c>
      <c r="H27" s="49" t="s">
        <v>32</v>
      </c>
      <c r="K27" s="56"/>
      <c r="L27" s="168"/>
      <c r="M27" s="56"/>
      <c r="N27" s="132"/>
      <c r="O27" s="23"/>
      <c r="P27" s="56"/>
    </row>
    <row r="28" spans="2:17" x14ac:dyDescent="0.3">
      <c r="B28" s="46" t="s">
        <v>182</v>
      </c>
      <c r="C28" s="51">
        <f>(G27-G26)/(C27-C26)</f>
        <v>2.4750000000000005</v>
      </c>
      <c r="D28" s="46"/>
      <c r="E28" s="50" t="s">
        <v>183</v>
      </c>
      <c r="F28" s="52">
        <f>G26-C28*C26</f>
        <v>-4.5375000000000014</v>
      </c>
      <c r="G28" s="49"/>
      <c r="H28" s="46"/>
      <c r="K28" s="9" t="s">
        <v>425</v>
      </c>
    </row>
    <row r="29" spans="2:17" x14ac:dyDescent="0.3">
      <c r="B29" s="46"/>
      <c r="C29" s="51"/>
      <c r="D29" s="46"/>
      <c r="E29" s="50" t="s">
        <v>248</v>
      </c>
      <c r="F29" s="52">
        <f>ABS(G26-C28*C26)</f>
        <v>4.5375000000000014</v>
      </c>
      <c r="G29" s="49"/>
      <c r="H29" s="46"/>
      <c r="K29" s="46" t="s">
        <v>41</v>
      </c>
      <c r="L29" s="46" t="s">
        <v>173</v>
      </c>
      <c r="M29" s="51">
        <f>L33</f>
        <v>0.51178660049627789</v>
      </c>
      <c r="N29" s="46" t="s">
        <v>42</v>
      </c>
      <c r="O29" s="46" t="s">
        <v>247</v>
      </c>
      <c r="P29" s="51">
        <f>O34</f>
        <v>1.65</v>
      </c>
      <c r="Q29" s="48"/>
    </row>
    <row r="30" spans="2:17" x14ac:dyDescent="0.3">
      <c r="B30" s="49" t="s">
        <v>249</v>
      </c>
      <c r="C30" s="51"/>
      <c r="D30" s="46"/>
      <c r="E30" s="50"/>
      <c r="F30" s="52"/>
      <c r="G30" s="46"/>
      <c r="H30" s="46"/>
      <c r="K30" s="49" t="s">
        <v>175</v>
      </c>
      <c r="L30" s="47">
        <v>1.65</v>
      </c>
      <c r="M30" s="48" t="s">
        <v>32</v>
      </c>
      <c r="N30" s="48"/>
      <c r="O30" s="48"/>
      <c r="P30" s="48"/>
      <c r="Q30" s="48"/>
    </row>
    <row r="31" spans="2:17" x14ac:dyDescent="0.3">
      <c r="B31" s="46" t="s">
        <v>250</v>
      </c>
      <c r="C31" s="48">
        <f>(((C25*F32)/(F29*C32))-1)*F31</f>
        <v>1.1781818181818184</v>
      </c>
      <c r="D31" s="48" t="s">
        <v>38</v>
      </c>
      <c r="E31" s="50" t="s">
        <v>251</v>
      </c>
      <c r="F31" s="103">
        <v>16.2</v>
      </c>
      <c r="G31" s="48" t="s">
        <v>398</v>
      </c>
      <c r="H31" s="48"/>
      <c r="K31" s="49" t="s">
        <v>177</v>
      </c>
      <c r="L31" s="213">
        <f>-N25</f>
        <v>-3.2240000000000002</v>
      </c>
      <c r="M31" s="49" t="s">
        <v>32</v>
      </c>
      <c r="N31" s="50" t="s">
        <v>178</v>
      </c>
      <c r="O31" s="50" t="s">
        <v>179</v>
      </c>
      <c r="P31" s="47">
        <v>0</v>
      </c>
      <c r="Q31" s="49" t="s">
        <v>32</v>
      </c>
    </row>
    <row r="32" spans="2:17" ht="17.25" thickBot="1" x14ac:dyDescent="0.35">
      <c r="B32" s="46" t="s">
        <v>252</v>
      </c>
      <c r="C32" s="48">
        <v>40.200000000000003</v>
      </c>
      <c r="D32" s="48" t="s">
        <v>399</v>
      </c>
      <c r="E32" s="50" t="s">
        <v>253</v>
      </c>
      <c r="F32" s="104">
        <f>(C28-1)*C32</f>
        <v>59.295000000000023</v>
      </c>
      <c r="G32" s="48" t="s">
        <v>38</v>
      </c>
      <c r="H32" s="48"/>
      <c r="K32" s="49" t="s">
        <v>180</v>
      </c>
      <c r="L32" s="213">
        <f>N25</f>
        <v>3.2240000000000002</v>
      </c>
      <c r="M32" s="49" t="s">
        <v>32</v>
      </c>
      <c r="N32" s="50" t="s">
        <v>178</v>
      </c>
      <c r="O32" s="50" t="s">
        <v>181</v>
      </c>
      <c r="P32" s="47">
        <v>3.3</v>
      </c>
      <c r="Q32" s="49" t="s">
        <v>32</v>
      </c>
    </row>
    <row r="33" spans="2:20" ht="17.25" thickBot="1" x14ac:dyDescent="0.35">
      <c r="B33" s="105" t="s">
        <v>400</v>
      </c>
      <c r="C33" s="106"/>
      <c r="D33" s="106"/>
      <c r="E33" s="106"/>
      <c r="F33" s="106"/>
      <c r="G33" s="106"/>
      <c r="H33" s="107"/>
      <c r="K33" s="46" t="s">
        <v>182</v>
      </c>
      <c r="L33" s="51">
        <f>(P32-P31)/(L32-L31)</f>
        <v>0.51178660049627789</v>
      </c>
      <c r="M33" s="46"/>
      <c r="N33" s="50" t="s">
        <v>183</v>
      </c>
      <c r="O33" s="52">
        <f>P31-L33*L31</f>
        <v>1.65</v>
      </c>
      <c r="P33" s="49"/>
      <c r="Q33" s="46"/>
    </row>
    <row r="34" spans="2:20" x14ac:dyDescent="0.3">
      <c r="B34" s="108" t="s">
        <v>187</v>
      </c>
      <c r="C34" s="109">
        <v>1.1499999999999999</v>
      </c>
      <c r="D34" s="110" t="s">
        <v>38</v>
      </c>
      <c r="E34" s="109" t="s">
        <v>255</v>
      </c>
      <c r="F34" s="109">
        <v>38.299999999999997</v>
      </c>
      <c r="G34" s="110" t="s">
        <v>38</v>
      </c>
      <c r="H34" s="111"/>
      <c r="K34" s="46"/>
      <c r="L34" s="51"/>
      <c r="M34" s="46"/>
      <c r="N34" s="50" t="s">
        <v>248</v>
      </c>
      <c r="O34" s="52">
        <f>ABS(P31-L33*L31)</f>
        <v>1.65</v>
      </c>
      <c r="P34" s="49"/>
      <c r="Q34" s="46"/>
    </row>
    <row r="35" spans="2:20" x14ac:dyDescent="0.3">
      <c r="B35" s="108" t="s">
        <v>188</v>
      </c>
      <c r="C35" s="109">
        <v>16.2</v>
      </c>
      <c r="D35" s="110" t="s">
        <v>38</v>
      </c>
      <c r="E35" s="109" t="s">
        <v>256</v>
      </c>
      <c r="F35" s="109">
        <v>59</v>
      </c>
      <c r="G35" s="110" t="s">
        <v>38</v>
      </c>
      <c r="H35" s="111"/>
      <c r="K35" s="49" t="s">
        <v>249</v>
      </c>
      <c r="L35" s="51"/>
      <c r="M35" s="46"/>
      <c r="N35" s="50"/>
      <c r="O35" s="52"/>
      <c r="P35" s="46"/>
      <c r="Q35" s="46"/>
    </row>
    <row r="36" spans="2:20" x14ac:dyDescent="0.3">
      <c r="B36" s="108" t="s">
        <v>257</v>
      </c>
      <c r="C36" s="109">
        <f>(C34*C35)/(C34+C35)</f>
        <v>1.0737752161383287</v>
      </c>
      <c r="D36" s="110" t="s">
        <v>38</v>
      </c>
      <c r="E36" s="109" t="s">
        <v>43</v>
      </c>
      <c r="F36" s="109">
        <v>3.3</v>
      </c>
      <c r="G36" s="109" t="s">
        <v>32</v>
      </c>
      <c r="H36" s="111"/>
      <c r="K36" s="46" t="s">
        <v>250</v>
      </c>
      <c r="L36" s="48">
        <v>20</v>
      </c>
      <c r="M36" s="48" t="s">
        <v>399</v>
      </c>
      <c r="N36" s="50" t="s">
        <v>251</v>
      </c>
      <c r="O36" s="103">
        <f>(L30*L33*L36)/O33</f>
        <v>10.23573200992556</v>
      </c>
      <c r="P36" s="48" t="s">
        <v>398</v>
      </c>
      <c r="Q36" s="48"/>
    </row>
    <row r="37" spans="2:20" ht="17.25" thickBot="1" x14ac:dyDescent="0.35">
      <c r="B37" s="108" t="s">
        <v>189</v>
      </c>
      <c r="C37" s="109">
        <f>(F35+F34+C36)/(F34+C36)</f>
        <v>2.4984593089213698</v>
      </c>
      <c r="D37" s="110"/>
      <c r="E37" s="110" t="s">
        <v>190</v>
      </c>
      <c r="F37" s="222">
        <f>-C25*(C35/(C34+C35))*(F35/(F34+C36))</f>
        <v>-4.6171547351548377</v>
      </c>
      <c r="G37" s="109"/>
      <c r="H37" s="111"/>
      <c r="K37" s="46" t="s">
        <v>252</v>
      </c>
      <c r="L37" s="48">
        <v>100</v>
      </c>
      <c r="M37" s="48" t="s">
        <v>399</v>
      </c>
      <c r="N37" s="50" t="s">
        <v>253</v>
      </c>
      <c r="O37" s="104">
        <f>L37*(L33*(L36+O36)/O36-1)</f>
        <v>51.178660049627766</v>
      </c>
      <c r="P37" s="48" t="s">
        <v>38</v>
      </c>
      <c r="Q37" s="48"/>
    </row>
    <row r="38" spans="2:20" ht="17.25" thickBot="1" x14ac:dyDescent="0.35">
      <c r="B38" s="112" t="s">
        <v>41</v>
      </c>
      <c r="C38" s="113" t="s">
        <v>173</v>
      </c>
      <c r="D38" s="114">
        <f>C37</f>
        <v>2.4984593089213698</v>
      </c>
      <c r="E38" s="113" t="s">
        <v>192</v>
      </c>
      <c r="F38" s="113" t="s">
        <v>42</v>
      </c>
      <c r="G38" s="223">
        <f>F37</f>
        <v>-4.6171547351548377</v>
      </c>
      <c r="H38" s="115"/>
      <c r="K38" s="105" t="s">
        <v>400</v>
      </c>
      <c r="L38" s="106"/>
      <c r="M38" s="106"/>
      <c r="N38" s="106"/>
      <c r="O38" s="106"/>
      <c r="P38" s="106"/>
      <c r="Q38" s="107"/>
    </row>
    <row r="39" spans="2:20" x14ac:dyDescent="0.3">
      <c r="B39" s="162"/>
      <c r="C39" s="162"/>
      <c r="D39" s="214"/>
      <c r="E39" s="162"/>
      <c r="F39" s="162"/>
      <c r="G39" s="162"/>
      <c r="H39" s="162"/>
      <c r="K39" s="108" t="s">
        <v>187</v>
      </c>
      <c r="L39" s="109">
        <v>20</v>
      </c>
      <c r="M39" s="110" t="s">
        <v>38</v>
      </c>
      <c r="N39" s="109" t="s">
        <v>255</v>
      </c>
      <c r="O39" s="109">
        <v>100</v>
      </c>
      <c r="P39" s="110" t="s">
        <v>38</v>
      </c>
      <c r="Q39" s="111"/>
    </row>
    <row r="40" spans="2:20" x14ac:dyDescent="0.3">
      <c r="B40" s="19" t="s">
        <v>401</v>
      </c>
      <c r="C40" s="162"/>
      <c r="D40" s="214"/>
      <c r="E40" s="162"/>
      <c r="F40" s="162"/>
      <c r="G40" s="162"/>
      <c r="H40" s="162"/>
      <c r="K40" s="108" t="s">
        <v>188</v>
      </c>
      <c r="L40" s="109">
        <v>10.199999999999999</v>
      </c>
      <c r="M40" s="110" t="s">
        <v>38</v>
      </c>
      <c r="N40" s="109" t="s">
        <v>256</v>
      </c>
      <c r="O40" s="109">
        <v>51.1</v>
      </c>
      <c r="P40" s="110" t="s">
        <v>38</v>
      </c>
      <c r="Q40" s="111"/>
    </row>
    <row r="41" spans="2:20" x14ac:dyDescent="0.3">
      <c r="B41" s="19" t="s">
        <v>402</v>
      </c>
      <c r="C41" s="215">
        <f>C26</f>
        <v>1.8333333333333335</v>
      </c>
      <c r="D41" s="216" t="s">
        <v>403</v>
      </c>
      <c r="E41" s="19" t="s">
        <v>404</v>
      </c>
      <c r="F41" s="19">
        <f>D38*C41+G38</f>
        <v>-3.6646002132325606E-2</v>
      </c>
      <c r="G41" s="217" t="s">
        <v>405</v>
      </c>
      <c r="H41" s="162"/>
      <c r="K41" s="108" t="s">
        <v>257</v>
      </c>
      <c r="L41" s="109">
        <f>(L39*L40)/(L39+L40)</f>
        <v>6.7549668874172184</v>
      </c>
      <c r="M41" s="110" t="s">
        <v>38</v>
      </c>
      <c r="N41" s="109" t="s">
        <v>43</v>
      </c>
      <c r="O41" s="109">
        <v>1.65</v>
      </c>
      <c r="P41" s="109" t="s">
        <v>32</v>
      </c>
      <c r="Q41" s="111"/>
    </row>
    <row r="42" spans="2:20" x14ac:dyDescent="0.3">
      <c r="B42" s="19" t="s">
        <v>402</v>
      </c>
      <c r="C42" s="215">
        <f>C27</f>
        <v>3.1666666666666665</v>
      </c>
      <c r="D42" s="216" t="s">
        <v>403</v>
      </c>
      <c r="E42" s="19" t="s">
        <v>404</v>
      </c>
      <c r="F42" s="19">
        <f>D38*C42+G38</f>
        <v>3.2946330764294993</v>
      </c>
      <c r="G42" s="218"/>
      <c r="H42" s="162"/>
      <c r="K42" s="108" t="s">
        <v>189</v>
      </c>
      <c r="L42" s="109">
        <f>(L40/(L39+L40))*((O40+O39)/O39)</f>
        <v>0.51033774834437085</v>
      </c>
      <c r="M42" s="110"/>
      <c r="N42" s="110" t="s">
        <v>190</v>
      </c>
      <c r="O42" s="222">
        <f>O41*(L39/(L39+L40))*((O40+O39)/O39)</f>
        <v>1.651092715231788</v>
      </c>
      <c r="P42" s="109"/>
      <c r="Q42" s="111"/>
    </row>
    <row r="43" spans="2:20" ht="17.25" thickBot="1" x14ac:dyDescent="0.35">
      <c r="K43" s="112" t="s">
        <v>41</v>
      </c>
      <c r="L43" s="113" t="s">
        <v>173</v>
      </c>
      <c r="M43" s="114">
        <f>L42</f>
        <v>0.51033774834437085</v>
      </c>
      <c r="N43" s="113" t="s">
        <v>192</v>
      </c>
      <c r="O43" s="113" t="s">
        <v>42</v>
      </c>
      <c r="P43" s="223">
        <f>O42</f>
        <v>1.651092715231788</v>
      </c>
      <c r="Q43" s="115"/>
      <c r="S43">
        <v>0.51033799999999996</v>
      </c>
      <c r="T43">
        <v>1.6510929999999999</v>
      </c>
    </row>
    <row r="76" spans="2:11" x14ac:dyDescent="0.3">
      <c r="B76" s="9" t="s">
        <v>406</v>
      </c>
    </row>
    <row r="77" spans="2:11" x14ac:dyDescent="0.3">
      <c r="B77" t="s">
        <v>258</v>
      </c>
    </row>
    <row r="78" spans="2:11" x14ac:dyDescent="0.3">
      <c r="K78" s="9" t="s">
        <v>406</v>
      </c>
    </row>
    <row r="79" spans="2:11" x14ac:dyDescent="0.3">
      <c r="B79" s="9" t="s">
        <v>407</v>
      </c>
      <c r="K79" t="s">
        <v>258</v>
      </c>
    </row>
    <row r="80" spans="2:11" x14ac:dyDescent="0.3">
      <c r="B80" t="s">
        <v>258</v>
      </c>
    </row>
    <row r="81" spans="2:16" x14ac:dyDescent="0.3">
      <c r="K81" s="9" t="s">
        <v>407</v>
      </c>
    </row>
    <row r="82" spans="2:16" ht="17.25" thickBot="1" x14ac:dyDescent="0.35">
      <c r="B82" s="9" t="s">
        <v>408</v>
      </c>
      <c r="K82" t="s">
        <v>258</v>
      </c>
    </row>
    <row r="83" spans="2:16" x14ac:dyDescent="0.3">
      <c r="B83" s="30" t="s">
        <v>100</v>
      </c>
      <c r="C83" s="31"/>
      <c r="D83" s="31"/>
      <c r="E83" s="31"/>
      <c r="F83" s="31"/>
      <c r="G83" s="32"/>
    </row>
    <row r="84" spans="2:16" ht="17.25" thickBot="1" x14ac:dyDescent="0.35">
      <c r="B84" s="137" t="s">
        <v>260</v>
      </c>
      <c r="C84" s="55"/>
      <c r="D84" s="55"/>
      <c r="E84" s="55"/>
      <c r="F84" s="55"/>
      <c r="G84" s="138"/>
      <c r="K84" s="9" t="s">
        <v>408</v>
      </c>
    </row>
    <row r="85" spans="2:16" x14ac:dyDescent="0.3">
      <c r="B85" s="142" t="s">
        <v>409</v>
      </c>
      <c r="C85" s="56"/>
      <c r="D85" s="56"/>
      <c r="E85" s="56"/>
      <c r="F85" s="56"/>
      <c r="G85" s="34"/>
      <c r="K85" s="30" t="s">
        <v>100</v>
      </c>
      <c r="L85" s="31"/>
      <c r="M85" s="31"/>
      <c r="N85" s="31"/>
      <c r="O85" s="31"/>
      <c r="P85" s="32"/>
    </row>
    <row r="86" spans="2:16" x14ac:dyDescent="0.3">
      <c r="B86" s="139" t="s">
        <v>410</v>
      </c>
      <c r="C86" s="61"/>
      <c r="D86" s="61"/>
      <c r="E86" s="61">
        <f>(E20-2.5)/(E14*10^-3)</f>
        <v>7.9999999999999982</v>
      </c>
      <c r="F86" s="61" t="s">
        <v>221</v>
      </c>
      <c r="G86" s="219" t="s">
        <v>413</v>
      </c>
      <c r="K86" s="137" t="s">
        <v>312</v>
      </c>
      <c r="L86" s="55"/>
      <c r="M86" s="55"/>
      <c r="N86" s="55"/>
      <c r="O86" s="55"/>
      <c r="P86" s="138" t="s">
        <v>430</v>
      </c>
    </row>
    <row r="87" spans="2:16" x14ac:dyDescent="0.3">
      <c r="B87" s="141" t="s">
        <v>263</v>
      </c>
      <c r="C87" s="55"/>
      <c r="D87" s="55"/>
      <c r="E87" s="55"/>
      <c r="F87" s="55"/>
      <c r="G87" s="138"/>
      <c r="K87" s="87" t="s">
        <v>431</v>
      </c>
      <c r="L87" s="56"/>
      <c r="M87" s="56"/>
      <c r="N87" s="56"/>
      <c r="O87" s="56"/>
      <c r="P87" s="34"/>
    </row>
    <row r="88" spans="2:16" x14ac:dyDescent="0.3">
      <c r="B88" s="142" t="s">
        <v>411</v>
      </c>
      <c r="C88" s="56"/>
      <c r="D88" s="56"/>
      <c r="E88" s="56"/>
      <c r="F88" s="56"/>
      <c r="G88" s="34"/>
      <c r="K88" s="171" t="s">
        <v>432</v>
      </c>
      <c r="L88" s="61"/>
      <c r="M88" s="61"/>
      <c r="N88" s="61">
        <f>N25/N23*N17</f>
        <v>8</v>
      </c>
      <c r="O88" s="61" t="s">
        <v>221</v>
      </c>
      <c r="P88" s="219" t="s">
        <v>413</v>
      </c>
    </row>
    <row r="89" spans="2:16" x14ac:dyDescent="0.3">
      <c r="B89" s="139" t="s">
        <v>412</v>
      </c>
      <c r="C89" s="61"/>
      <c r="D89" s="61"/>
      <c r="E89" s="61">
        <f>(D91+4.617155)/2.498459</f>
        <v>3.1688152577248618</v>
      </c>
      <c r="F89" s="61" t="s">
        <v>32</v>
      </c>
      <c r="G89" s="220" t="s">
        <v>414</v>
      </c>
      <c r="K89" s="137" t="s">
        <v>313</v>
      </c>
      <c r="L89" s="55"/>
      <c r="M89" s="55"/>
      <c r="N89" s="55"/>
      <c r="O89" s="55"/>
      <c r="P89" s="138"/>
    </row>
    <row r="90" spans="2:16" x14ac:dyDescent="0.3">
      <c r="B90" s="143" t="s">
        <v>264</v>
      </c>
      <c r="C90" s="55"/>
      <c r="D90" s="55"/>
      <c r="E90" s="55"/>
      <c r="F90" s="55"/>
      <c r="G90" s="138"/>
      <c r="K90" s="87" t="s">
        <v>426</v>
      </c>
      <c r="L90" s="56"/>
      <c r="M90" s="56"/>
      <c r="N90" s="56"/>
      <c r="O90" s="56"/>
      <c r="P90" s="34"/>
    </row>
    <row r="91" spans="2:16" x14ac:dyDescent="0.3">
      <c r="B91" s="144" t="s">
        <v>269</v>
      </c>
      <c r="C91" s="61"/>
      <c r="D91" s="61">
        <f>4096/2^12 * 3.3</f>
        <v>3.3</v>
      </c>
      <c r="E91" s="61"/>
      <c r="F91" s="61"/>
      <c r="G91" s="219"/>
      <c r="K91" s="171" t="s">
        <v>427</v>
      </c>
      <c r="L91" s="61"/>
      <c r="M91" s="61"/>
      <c r="N91" s="224">
        <f xml:space="preserve"> (P32-1.651093) / 0.510338</f>
        <v>3.2310096445884886</v>
      </c>
      <c r="O91" s="61" t="s">
        <v>32</v>
      </c>
      <c r="P91" s="219" t="s">
        <v>428</v>
      </c>
    </row>
    <row r="92" spans="2:16" x14ac:dyDescent="0.3">
      <c r="B92" s="145" t="s">
        <v>272</v>
      </c>
      <c r="C92" s="56"/>
      <c r="D92" s="56"/>
      <c r="E92" s="56"/>
      <c r="F92" s="56"/>
      <c r="G92" s="34"/>
      <c r="K92" s="137" t="s">
        <v>315</v>
      </c>
      <c r="L92" s="55"/>
      <c r="M92" s="55"/>
      <c r="N92" s="55"/>
      <c r="O92" s="55"/>
      <c r="P92" s="138"/>
    </row>
    <row r="93" spans="2:16" x14ac:dyDescent="0.3">
      <c r="B93" s="86" t="s">
        <v>415</v>
      </c>
      <c r="C93" s="56"/>
      <c r="D93" s="56"/>
      <c r="E93" s="56"/>
      <c r="F93" s="56"/>
      <c r="G93" s="34"/>
      <c r="K93" s="171" t="s">
        <v>102</v>
      </c>
      <c r="L93" s="61"/>
      <c r="M93" s="61"/>
      <c r="N93" s="61">
        <f>4096/2^12*3.3</f>
        <v>3.3</v>
      </c>
      <c r="O93" s="61" t="s">
        <v>32</v>
      </c>
      <c r="P93" s="140"/>
    </row>
    <row r="94" spans="2:16" x14ac:dyDescent="0.3">
      <c r="B94" s="87"/>
      <c r="C94" s="56" t="s">
        <v>416</v>
      </c>
      <c r="D94" s="56"/>
      <c r="E94" s="56"/>
      <c r="F94" s="56"/>
      <c r="G94" s="34"/>
      <c r="K94" s="87"/>
      <c r="L94" s="56"/>
      <c r="M94" s="56"/>
      <c r="N94" s="56"/>
      <c r="O94" s="56"/>
      <c r="P94" s="34"/>
    </row>
    <row r="95" spans="2:16" x14ac:dyDescent="0.3">
      <c r="B95" s="87"/>
      <c r="C95" s="56" t="s">
        <v>417</v>
      </c>
      <c r="D95" s="56"/>
      <c r="E95" s="56"/>
      <c r="F95" s="56"/>
      <c r="G95" s="34"/>
      <c r="K95" s="87" t="s">
        <v>429</v>
      </c>
      <c r="L95" s="56"/>
      <c r="M95" s="56"/>
      <c r="N95" s="56"/>
      <c r="O95" s="56"/>
      <c r="P95" s="34"/>
    </row>
    <row r="96" spans="2:16" ht="17.25" thickBot="1" x14ac:dyDescent="0.35">
      <c r="B96" s="184"/>
      <c r="C96" s="90">
        <f xml:space="preserve"> ( ( ( ( (4096/2^12)*3.3) + 4.617155) / 2.498459) - 2.5) / (E14*10^-3)</f>
        <v>8.025783092698342</v>
      </c>
      <c r="D96" s="90" t="s">
        <v>418</v>
      </c>
      <c r="E96" s="90"/>
      <c r="F96" s="90"/>
      <c r="G96" s="40"/>
      <c r="K96" s="145" t="s">
        <v>433</v>
      </c>
      <c r="L96" s="56"/>
      <c r="M96" s="56"/>
      <c r="N96" s="56"/>
      <c r="O96" s="56"/>
      <c r="P96" s="34"/>
    </row>
    <row r="97" spans="11:16" ht="17.25" thickBot="1" x14ac:dyDescent="0.35">
      <c r="K97" s="172" t="s">
        <v>173</v>
      </c>
      <c r="L97" s="90">
        <f>( ( (4096/2^12*3.3)-1.651093) / 0.510338 * N17) / N23</f>
        <v>8.0173936590285084</v>
      </c>
      <c r="M97" s="90" t="s">
        <v>221</v>
      </c>
      <c r="N97" s="90"/>
      <c r="O97" s="90"/>
      <c r="P97" s="225" t="s">
        <v>405</v>
      </c>
    </row>
  </sheetData>
  <mergeCells count="11">
    <mergeCell ref="K38:Q38"/>
    <mergeCell ref="B7:F7"/>
    <mergeCell ref="B8:F8"/>
    <mergeCell ref="C20:C21"/>
    <mergeCell ref="B33:H33"/>
    <mergeCell ref="G41:G42"/>
    <mergeCell ref="K7:O7"/>
    <mergeCell ref="K8:O8"/>
    <mergeCell ref="K12:K15"/>
    <mergeCell ref="L12:L15"/>
    <mergeCell ref="M12:M15"/>
  </mergeCells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1. ADC 센싱종류</vt:lpstr>
      <vt:lpstr>2. 입력전압센싱</vt:lpstr>
      <vt:lpstr>3.입력전류센싱</vt:lpstr>
      <vt:lpstr>4.출력전압센싱</vt:lpstr>
      <vt:lpstr>5.출력전류센싱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신병철</dc:creator>
  <cp:lastModifiedBy>신병철</cp:lastModifiedBy>
  <dcterms:created xsi:type="dcterms:W3CDTF">2023-08-22T12:12:19Z</dcterms:created>
  <dcterms:modified xsi:type="dcterms:W3CDTF">2023-08-23T20:52:47Z</dcterms:modified>
</cp:coreProperties>
</file>